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vaida.cedaviciene\Desktop\TS SVP 2022_2024_2022-05- _T11-\"/>
    </mc:Choice>
  </mc:AlternateContent>
  <xr:revisionPtr revIDLastSave="0" documentId="13_ncr:1_{44E4426B-A6D7-4398-8E49-CC8E836BF5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7 programa" sheetId="1" r:id="rId1"/>
  </sheets>
  <definedNames>
    <definedName name="_xlnm._FilterDatabase" localSheetId="0" hidden="1">'7 programa'!$A$12:$AH$150</definedName>
    <definedName name="_xlnm.Print_Area" localSheetId="0">'7 programa'!$A$1:$X$151</definedName>
    <definedName name="_xlnm.Print_Titles" localSheetId="0">'7 programa'!$4:$7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38" i="1" s="1"/>
  <c r="N39" i="1"/>
  <c r="M39" i="1" s="1"/>
  <c r="O138" i="1"/>
  <c r="P138" i="1"/>
  <c r="N93" i="1"/>
  <c r="M93" i="1" s="1"/>
  <c r="N64" i="1"/>
  <c r="M64" i="1" s="1"/>
  <c r="N63" i="1"/>
  <c r="M63" i="1" s="1"/>
  <c r="V65" i="1"/>
  <c r="U65" i="1" s="1"/>
  <c r="S65" i="1"/>
  <c r="T65" i="1"/>
  <c r="R65" i="1"/>
  <c r="O65" i="1"/>
  <c r="P65" i="1"/>
  <c r="Q64" i="1"/>
  <c r="U64" i="1"/>
  <c r="U63" i="1"/>
  <c r="Q63" i="1"/>
  <c r="R54" i="1"/>
  <c r="Q54" i="1" s="1"/>
  <c r="S54" i="1"/>
  <c r="T54" i="1"/>
  <c r="V54" i="1"/>
  <c r="W54" i="1"/>
  <c r="X54" i="1"/>
  <c r="O54" i="1"/>
  <c r="N53" i="1"/>
  <c r="M53" i="1" s="1"/>
  <c r="Q52" i="1"/>
  <c r="U52" i="1"/>
  <c r="Q51" i="1"/>
  <c r="U51" i="1"/>
  <c r="Q50" i="1"/>
  <c r="U50" i="1"/>
  <c r="Q49" i="1"/>
  <c r="U49" i="1"/>
  <c r="Q48" i="1"/>
  <c r="U48" i="1"/>
  <c r="Q47" i="1"/>
  <c r="U47" i="1"/>
  <c r="Q53" i="1"/>
  <c r="U53" i="1"/>
  <c r="N49" i="1"/>
  <c r="M49" i="1" s="1"/>
  <c r="M47" i="1"/>
  <c r="M48" i="1"/>
  <c r="M50" i="1"/>
  <c r="M51" i="1"/>
  <c r="M52" i="1"/>
  <c r="N46" i="1"/>
  <c r="N54" i="1" s="1"/>
  <c r="N65" i="1" l="1"/>
  <c r="M65" i="1" s="1"/>
  <c r="Q65" i="1"/>
  <c r="U54" i="1"/>
  <c r="U83" i="1" l="1"/>
  <c r="Q83" i="1"/>
  <c r="G172" i="1" l="1"/>
  <c r="F172" i="1"/>
  <c r="X149" i="1"/>
  <c r="W149" i="1"/>
  <c r="V149" i="1"/>
  <c r="U149" i="1"/>
  <c r="T149" i="1"/>
  <c r="S149" i="1"/>
  <c r="R149" i="1"/>
  <c r="Q149" i="1"/>
  <c r="O149" i="1"/>
  <c r="N149" i="1"/>
  <c r="K149" i="1"/>
  <c r="J149" i="1"/>
  <c r="X148" i="1"/>
  <c r="U148" i="1" s="1"/>
  <c r="W148" i="1"/>
  <c r="V148" i="1"/>
  <c r="T148" i="1"/>
  <c r="Q148" i="1" s="1"/>
  <c r="S148" i="1"/>
  <c r="R148" i="1"/>
  <c r="P148" i="1"/>
  <c r="O148" i="1"/>
  <c r="N148" i="1"/>
  <c r="L148" i="1"/>
  <c r="K148" i="1"/>
  <c r="J148" i="1"/>
  <c r="X147" i="1"/>
  <c r="W147" i="1"/>
  <c r="V147" i="1"/>
  <c r="T147" i="1"/>
  <c r="S147" i="1"/>
  <c r="R147" i="1"/>
  <c r="P147" i="1"/>
  <c r="O147" i="1"/>
  <c r="N147" i="1"/>
  <c r="L147" i="1"/>
  <c r="K147" i="1"/>
  <c r="J147" i="1"/>
  <c r="X146" i="1"/>
  <c r="T146" i="1"/>
  <c r="P146" i="1"/>
  <c r="K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X142" i="1"/>
  <c r="W142" i="1"/>
  <c r="V142" i="1"/>
  <c r="T142" i="1"/>
  <c r="S142" i="1"/>
  <c r="R142" i="1"/>
  <c r="P142" i="1"/>
  <c r="O142" i="1"/>
  <c r="N142" i="1"/>
  <c r="L142" i="1"/>
  <c r="K142" i="1"/>
  <c r="J142" i="1"/>
  <c r="X141" i="1"/>
  <c r="W141" i="1"/>
  <c r="V141" i="1"/>
  <c r="U141" i="1"/>
  <c r="T141" i="1"/>
  <c r="S141" i="1"/>
  <c r="R141" i="1"/>
  <c r="Q141" i="1"/>
  <c r="P141" i="1"/>
  <c r="O141" i="1"/>
  <c r="N141" i="1"/>
  <c r="M141" i="1" s="1"/>
  <c r="L141" i="1"/>
  <c r="K141" i="1"/>
  <c r="J141" i="1"/>
  <c r="I141" i="1"/>
  <c r="X140" i="1"/>
  <c r="W140" i="1"/>
  <c r="V140" i="1"/>
  <c r="T140" i="1"/>
  <c r="Q140" i="1" s="1"/>
  <c r="S140" i="1"/>
  <c r="R140" i="1"/>
  <c r="P140" i="1"/>
  <c r="O140" i="1"/>
  <c r="N140" i="1"/>
  <c r="L140" i="1"/>
  <c r="K140" i="1"/>
  <c r="J140" i="1"/>
  <c r="X139" i="1"/>
  <c r="W139" i="1"/>
  <c r="V139" i="1"/>
  <c r="U139" i="1" s="1"/>
  <c r="T139" i="1"/>
  <c r="S139" i="1"/>
  <c r="R139" i="1"/>
  <c r="P139" i="1"/>
  <c r="O139" i="1"/>
  <c r="N139" i="1"/>
  <c r="L139" i="1"/>
  <c r="X138" i="1"/>
  <c r="W138" i="1"/>
  <c r="V138" i="1"/>
  <c r="U138" i="1"/>
  <c r="S138" i="1"/>
  <c r="R138" i="1"/>
  <c r="Q138" i="1"/>
  <c r="K138" i="1"/>
  <c r="X134" i="1"/>
  <c r="W134" i="1"/>
  <c r="V134" i="1"/>
  <c r="U134" i="1"/>
  <c r="T134" i="1"/>
  <c r="S134" i="1"/>
  <c r="R134" i="1"/>
  <c r="R135" i="1" s="1"/>
  <c r="Q134" i="1"/>
  <c r="P134" i="1"/>
  <c r="O134" i="1"/>
  <c r="N134" i="1"/>
  <c r="N135" i="1" s="1"/>
  <c r="M134" i="1"/>
  <c r="J134" i="1"/>
  <c r="I134" i="1"/>
  <c r="J132" i="1"/>
  <c r="I132" i="1" s="1"/>
  <c r="X131" i="1"/>
  <c r="X135" i="1" s="1"/>
  <c r="W131" i="1"/>
  <c r="V131" i="1"/>
  <c r="V135" i="1" s="1"/>
  <c r="U131" i="1"/>
  <c r="T131" i="1"/>
  <c r="T135" i="1" s="1"/>
  <c r="S131" i="1"/>
  <c r="R131" i="1"/>
  <c r="Q131" i="1"/>
  <c r="P131" i="1"/>
  <c r="P135" i="1" s="1"/>
  <c r="O131" i="1"/>
  <c r="N131" i="1"/>
  <c r="M131" i="1"/>
  <c r="L131" i="1"/>
  <c r="L135" i="1" s="1"/>
  <c r="K131" i="1"/>
  <c r="K135" i="1" s="1"/>
  <c r="J131" i="1"/>
  <c r="I131" i="1"/>
  <c r="U130" i="1"/>
  <c r="Q130" i="1"/>
  <c r="X124" i="1"/>
  <c r="W124" i="1"/>
  <c r="V124" i="1"/>
  <c r="U124" i="1" s="1"/>
  <c r="T124" i="1"/>
  <c r="S124" i="1"/>
  <c r="R124" i="1"/>
  <c r="P124" i="1"/>
  <c r="O124" i="1"/>
  <c r="N124" i="1"/>
  <c r="L124" i="1"/>
  <c r="K124" i="1"/>
  <c r="J124" i="1"/>
  <c r="I124" i="1"/>
  <c r="X122" i="1"/>
  <c r="U122" i="1" s="1"/>
  <c r="T122" i="1"/>
  <c r="Q122" i="1" s="1"/>
  <c r="P122" i="1"/>
  <c r="M122" i="1" s="1"/>
  <c r="L122" i="1"/>
  <c r="I122" i="1" s="1"/>
  <c r="I121" i="1"/>
  <c r="X120" i="1"/>
  <c r="V120" i="1"/>
  <c r="U120" i="1"/>
  <c r="T120" i="1"/>
  <c r="Q120" i="1" s="1"/>
  <c r="P120" i="1"/>
  <c r="J120" i="1"/>
  <c r="I120" i="1" s="1"/>
  <c r="I119" i="1"/>
  <c r="P118" i="1"/>
  <c r="O118" i="1"/>
  <c r="N118" i="1"/>
  <c r="L118" i="1"/>
  <c r="K118" i="1"/>
  <c r="J118" i="1"/>
  <c r="U114" i="1"/>
  <c r="Q114" i="1"/>
  <c r="X113" i="1"/>
  <c r="U113" i="1"/>
  <c r="T113" i="1"/>
  <c r="Q113" i="1"/>
  <c r="P113" i="1"/>
  <c r="M113" i="1"/>
  <c r="L113" i="1"/>
  <c r="I113" i="1"/>
  <c r="X111" i="1"/>
  <c r="W111" i="1"/>
  <c r="V111" i="1"/>
  <c r="U111" i="1" s="1"/>
  <c r="T111" i="1"/>
  <c r="S111" i="1"/>
  <c r="R111" i="1"/>
  <c r="P111" i="1"/>
  <c r="O111" i="1"/>
  <c r="N111" i="1"/>
  <c r="M111" i="1"/>
  <c r="L111" i="1"/>
  <c r="K111" i="1"/>
  <c r="U110" i="1"/>
  <c r="Q110" i="1"/>
  <c r="U107" i="1"/>
  <c r="Q107" i="1"/>
  <c r="J107" i="1"/>
  <c r="I107" i="1" s="1"/>
  <c r="X106" i="1"/>
  <c r="W106" i="1"/>
  <c r="V106" i="1"/>
  <c r="U106" i="1"/>
  <c r="S106" i="1"/>
  <c r="R106" i="1"/>
  <c r="Q106" i="1"/>
  <c r="O106" i="1"/>
  <c r="N106" i="1"/>
  <c r="M106" i="1"/>
  <c r="L106" i="1"/>
  <c r="K106" i="1"/>
  <c r="J106" i="1"/>
  <c r="I106" i="1"/>
  <c r="X100" i="1"/>
  <c r="X101" i="1" s="1"/>
  <c r="W100" i="1"/>
  <c r="W101" i="1" s="1"/>
  <c r="V100" i="1"/>
  <c r="T100" i="1"/>
  <c r="T101" i="1" s="1"/>
  <c r="S100" i="1"/>
  <c r="S101" i="1" s="1"/>
  <c r="R100" i="1"/>
  <c r="Q100" i="1" s="1"/>
  <c r="P100" i="1"/>
  <c r="P101" i="1" s="1"/>
  <c r="O100" i="1"/>
  <c r="O101" i="1" s="1"/>
  <c r="N100" i="1"/>
  <c r="I99" i="1"/>
  <c r="K98" i="1"/>
  <c r="K100" i="1" s="1"/>
  <c r="K101" i="1" s="1"/>
  <c r="J98" i="1"/>
  <c r="L97" i="1"/>
  <c r="L100" i="1" s="1"/>
  <c r="L101" i="1" s="1"/>
  <c r="J97" i="1"/>
  <c r="X94" i="1"/>
  <c r="W94" i="1"/>
  <c r="V94" i="1"/>
  <c r="T94" i="1"/>
  <c r="Q94" i="1" s="1"/>
  <c r="S94" i="1"/>
  <c r="R94" i="1"/>
  <c r="P94" i="1"/>
  <c r="O94" i="1"/>
  <c r="N94" i="1"/>
  <c r="M94" i="1" s="1"/>
  <c r="L94" i="1"/>
  <c r="L95" i="1" s="1"/>
  <c r="K94" i="1"/>
  <c r="K95" i="1" s="1"/>
  <c r="J94" i="1"/>
  <c r="X92" i="1"/>
  <c r="W92" i="1"/>
  <c r="V92" i="1"/>
  <c r="U92" i="1"/>
  <c r="T92" i="1"/>
  <c r="S92" i="1"/>
  <c r="R92" i="1"/>
  <c r="R95" i="1" s="1"/>
  <c r="Q92" i="1"/>
  <c r="P92" i="1"/>
  <c r="O92" i="1"/>
  <c r="N92" i="1"/>
  <c r="M92" i="1"/>
  <c r="J92" i="1"/>
  <c r="J95" i="1" s="1"/>
  <c r="I92" i="1"/>
  <c r="X86" i="1"/>
  <c r="W86" i="1"/>
  <c r="V86" i="1"/>
  <c r="U86" i="1" s="1"/>
  <c r="T86" i="1"/>
  <c r="S86" i="1"/>
  <c r="R86" i="1"/>
  <c r="P86" i="1"/>
  <c r="M86" i="1" s="1"/>
  <c r="O86" i="1"/>
  <c r="N86" i="1"/>
  <c r="L86" i="1"/>
  <c r="I86" i="1" s="1"/>
  <c r="K86" i="1"/>
  <c r="J86" i="1"/>
  <c r="U85" i="1"/>
  <c r="I85" i="1"/>
  <c r="X84" i="1"/>
  <c r="W84" i="1"/>
  <c r="V84" i="1"/>
  <c r="S84" i="1"/>
  <c r="R84" i="1"/>
  <c r="O84" i="1"/>
  <c r="N84" i="1"/>
  <c r="K84" i="1"/>
  <c r="J84" i="1"/>
  <c r="P84" i="1"/>
  <c r="L83" i="1"/>
  <c r="L84" i="1" s="1"/>
  <c r="T81" i="1"/>
  <c r="T84" i="1" s="1"/>
  <c r="M81" i="1"/>
  <c r="X80" i="1"/>
  <c r="W80" i="1"/>
  <c r="V80" i="1"/>
  <c r="T80" i="1"/>
  <c r="Q80" i="1" s="1"/>
  <c r="S80" i="1"/>
  <c r="R80" i="1"/>
  <c r="P80" i="1"/>
  <c r="O80" i="1"/>
  <c r="N80" i="1"/>
  <c r="M80" i="1" s="1"/>
  <c r="K80" i="1"/>
  <c r="J80" i="1"/>
  <c r="L79" i="1"/>
  <c r="L146" i="1" s="1"/>
  <c r="I146" i="1" s="1"/>
  <c r="L75" i="1"/>
  <c r="I75" i="1" s="1"/>
  <c r="X74" i="1"/>
  <c r="W74" i="1"/>
  <c r="V74" i="1"/>
  <c r="T74" i="1"/>
  <c r="S74" i="1"/>
  <c r="R74" i="1"/>
  <c r="P74" i="1"/>
  <c r="O74" i="1"/>
  <c r="N74" i="1"/>
  <c r="L74" i="1"/>
  <c r="J74" i="1"/>
  <c r="I73" i="1"/>
  <c r="I72" i="1"/>
  <c r="I140" i="1" s="1"/>
  <c r="I71" i="1"/>
  <c r="W62" i="1"/>
  <c r="W66" i="1" s="1"/>
  <c r="V62" i="1"/>
  <c r="U62" i="1"/>
  <c r="S62" i="1"/>
  <c r="R62" i="1"/>
  <c r="Q62" i="1"/>
  <c r="P62" i="1"/>
  <c r="O62" i="1"/>
  <c r="N62" i="1"/>
  <c r="M62" i="1"/>
  <c r="K62" i="1"/>
  <c r="K66" i="1" s="1"/>
  <c r="J62" i="1"/>
  <c r="I62" i="1"/>
  <c r="X58" i="1"/>
  <c r="W58" i="1"/>
  <c r="V58" i="1"/>
  <c r="T58" i="1"/>
  <c r="S58" i="1"/>
  <c r="R58" i="1"/>
  <c r="P58" i="1"/>
  <c r="O58" i="1"/>
  <c r="N58" i="1"/>
  <c r="L58" i="1"/>
  <c r="L66" i="1" s="1"/>
  <c r="K58" i="1"/>
  <c r="J57" i="1"/>
  <c r="K54" i="1"/>
  <c r="P46" i="1"/>
  <c r="P54" i="1" s="1"/>
  <c r="V45" i="1"/>
  <c r="U45" i="1"/>
  <c r="R45" i="1"/>
  <c r="Q45" i="1"/>
  <c r="N45" i="1"/>
  <c r="M45" i="1"/>
  <c r="J45" i="1"/>
  <c r="I45" i="1"/>
  <c r="X43" i="1"/>
  <c r="W43" i="1"/>
  <c r="T43" i="1"/>
  <c r="P43" i="1"/>
  <c r="O43" i="1"/>
  <c r="N43" i="1"/>
  <c r="M43" i="1" s="1"/>
  <c r="K43" i="1"/>
  <c r="I42" i="1"/>
  <c r="Q40" i="1"/>
  <c r="M40" i="1"/>
  <c r="I40" i="1"/>
  <c r="L39" i="1"/>
  <c r="L43" i="1" s="1"/>
  <c r="J39" i="1"/>
  <c r="J43" i="1" s="1"/>
  <c r="X38" i="1"/>
  <c r="U38" i="1" s="1"/>
  <c r="W38" i="1"/>
  <c r="V38" i="1"/>
  <c r="T38" i="1"/>
  <c r="S38" i="1"/>
  <c r="R38" i="1"/>
  <c r="P38" i="1"/>
  <c r="O38" i="1"/>
  <c r="N38" i="1"/>
  <c r="L38" i="1"/>
  <c r="K38" i="1"/>
  <c r="I37" i="1"/>
  <c r="J35" i="1"/>
  <c r="J38" i="1" s="1"/>
  <c r="X34" i="1"/>
  <c r="W34" i="1"/>
  <c r="V34" i="1"/>
  <c r="T34" i="1"/>
  <c r="S34" i="1"/>
  <c r="R34" i="1"/>
  <c r="P34" i="1"/>
  <c r="O34" i="1"/>
  <c r="N34" i="1"/>
  <c r="M34" i="1" s="1"/>
  <c r="L34" i="1"/>
  <c r="K34" i="1"/>
  <c r="I33" i="1"/>
  <c r="J31" i="1"/>
  <c r="X30" i="1"/>
  <c r="W30" i="1"/>
  <c r="V30" i="1"/>
  <c r="T30" i="1"/>
  <c r="S30" i="1"/>
  <c r="R30" i="1"/>
  <c r="P30" i="1"/>
  <c r="O30" i="1"/>
  <c r="L30" i="1"/>
  <c r="K30" i="1"/>
  <c r="I29" i="1"/>
  <c r="J28" i="1"/>
  <c r="I28" i="1" s="1"/>
  <c r="N27" i="1"/>
  <c r="N30" i="1" s="1"/>
  <c r="J27" i="1"/>
  <c r="X26" i="1"/>
  <c r="W26" i="1"/>
  <c r="V26" i="1"/>
  <c r="T26" i="1"/>
  <c r="S26" i="1"/>
  <c r="R26" i="1"/>
  <c r="Q26" i="1" s="1"/>
  <c r="P26" i="1"/>
  <c r="O26" i="1"/>
  <c r="L26" i="1"/>
  <c r="K26" i="1"/>
  <c r="I25" i="1"/>
  <c r="Q24" i="1"/>
  <c r="I24" i="1"/>
  <c r="N23" i="1"/>
  <c r="M23" i="1" s="1"/>
  <c r="J23" i="1"/>
  <c r="J26" i="1" s="1"/>
  <c r="X22" i="1"/>
  <c r="W22" i="1"/>
  <c r="V22" i="1"/>
  <c r="U22" i="1"/>
  <c r="T22" i="1"/>
  <c r="S22" i="1"/>
  <c r="R22" i="1"/>
  <c r="Q22" i="1"/>
  <c r="P22" i="1"/>
  <c r="O22" i="1"/>
  <c r="L22" i="1"/>
  <c r="K22" i="1"/>
  <c r="I21" i="1"/>
  <c r="N19" i="1"/>
  <c r="N22" i="1" s="1"/>
  <c r="M19" i="1"/>
  <c r="M22" i="1" s="1"/>
  <c r="J19" i="1"/>
  <c r="I19" i="1" s="1"/>
  <c r="X18" i="1"/>
  <c r="W18" i="1"/>
  <c r="V18" i="1"/>
  <c r="T18" i="1"/>
  <c r="S18" i="1"/>
  <c r="R18" i="1"/>
  <c r="Q18" i="1" s="1"/>
  <c r="P18" i="1"/>
  <c r="O18" i="1"/>
  <c r="N18" i="1"/>
  <c r="L18" i="1"/>
  <c r="K18" i="1"/>
  <c r="J17" i="1"/>
  <c r="J18" i="1" s="1"/>
  <c r="I16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I14" i="1"/>
  <c r="M12" i="1"/>
  <c r="M15" i="1" s="1"/>
  <c r="J12" i="1"/>
  <c r="J15" i="1" s="1"/>
  <c r="Q135" i="1" l="1"/>
  <c r="O150" i="1"/>
  <c r="K139" i="1"/>
  <c r="M30" i="1"/>
  <c r="N95" i="1"/>
  <c r="I118" i="1"/>
  <c r="I17" i="1"/>
  <c r="M58" i="1"/>
  <c r="X125" i="1"/>
  <c r="X136" i="1" s="1"/>
  <c r="M135" i="1"/>
  <c r="U135" i="1"/>
  <c r="U26" i="1"/>
  <c r="P87" i="1"/>
  <c r="P88" i="1" s="1"/>
  <c r="U84" i="1"/>
  <c r="U94" i="1"/>
  <c r="U95" i="1" s="1"/>
  <c r="M100" i="1"/>
  <c r="U18" i="1"/>
  <c r="Q74" i="1"/>
  <c r="I79" i="1"/>
  <c r="M46" i="1"/>
  <c r="U74" i="1"/>
  <c r="O87" i="1"/>
  <c r="O88" i="1" s="1"/>
  <c r="W95" i="1"/>
  <c r="R87" i="1"/>
  <c r="R88" i="1" s="1"/>
  <c r="Q86" i="1"/>
  <c r="V95" i="1"/>
  <c r="O95" i="1"/>
  <c r="O102" i="1" s="1"/>
  <c r="M148" i="1"/>
  <c r="L80" i="1"/>
  <c r="I83" i="1"/>
  <c r="U125" i="1"/>
  <c r="U140" i="1"/>
  <c r="M84" i="1"/>
  <c r="Q95" i="1"/>
  <c r="I94" i="1"/>
  <c r="I95" i="1" s="1"/>
  <c r="W125" i="1"/>
  <c r="W136" i="1" s="1"/>
  <c r="J111" i="1"/>
  <c r="I35" i="1"/>
  <c r="U80" i="1"/>
  <c r="Q124" i="1"/>
  <c r="I135" i="1"/>
  <c r="M140" i="1"/>
  <c r="I18" i="1"/>
  <c r="K150" i="1"/>
  <c r="W87" i="1"/>
  <c r="W88" i="1" s="1"/>
  <c r="X150" i="1"/>
  <c r="S87" i="1"/>
  <c r="S88" i="1" s="1"/>
  <c r="M74" i="1"/>
  <c r="V55" i="1"/>
  <c r="M18" i="1"/>
  <c r="U30" i="1"/>
  <c r="U55" i="1" s="1"/>
  <c r="U34" i="1"/>
  <c r="M38" i="1"/>
  <c r="I43" i="1"/>
  <c r="R66" i="1"/>
  <c r="M83" i="1"/>
  <c r="M149" i="1" s="1"/>
  <c r="M95" i="1"/>
  <c r="U100" i="1"/>
  <c r="I111" i="1"/>
  <c r="M124" i="1"/>
  <c r="V87" i="1"/>
  <c r="W150" i="1"/>
  <c r="N150" i="1"/>
  <c r="I26" i="1"/>
  <c r="N26" i="1"/>
  <c r="M26" i="1" s="1"/>
  <c r="Q38" i="1"/>
  <c r="V66" i="1"/>
  <c r="O66" i="1"/>
  <c r="I80" i="1"/>
  <c r="X87" i="1"/>
  <c r="X88" i="1" s="1"/>
  <c r="P95" i="1"/>
  <c r="X95" i="1"/>
  <c r="V101" i="1"/>
  <c r="U101" i="1" s="1"/>
  <c r="V125" i="1"/>
  <c r="V136" i="1" s="1"/>
  <c r="L55" i="1"/>
  <c r="L67" i="1" s="1"/>
  <c r="O125" i="1"/>
  <c r="O136" i="1" s="1"/>
  <c r="R55" i="1"/>
  <c r="J30" i="1"/>
  <c r="I30" i="1" s="1"/>
  <c r="J87" i="1"/>
  <c r="J88" i="1" s="1"/>
  <c r="N87" i="1"/>
  <c r="N88" i="1" s="1"/>
  <c r="M88" i="1" s="1"/>
  <c r="I97" i="1"/>
  <c r="I125" i="1"/>
  <c r="I136" i="1" s="1"/>
  <c r="N125" i="1"/>
  <c r="N136" i="1" s="1"/>
  <c r="M118" i="1"/>
  <c r="M125" i="1" s="1"/>
  <c r="M136" i="1" s="1"/>
  <c r="J135" i="1"/>
  <c r="M139" i="1"/>
  <c r="J22" i="1"/>
  <c r="I22" i="1" s="1"/>
  <c r="M27" i="1"/>
  <c r="Q30" i="1"/>
  <c r="Q34" i="1"/>
  <c r="N66" i="1"/>
  <c r="T87" i="1"/>
  <c r="T88" i="1" s="1"/>
  <c r="Q84" i="1"/>
  <c r="Q87" i="1" s="1"/>
  <c r="J125" i="1"/>
  <c r="S125" i="1"/>
  <c r="S136" i="1" s="1"/>
  <c r="S150" i="1"/>
  <c r="S95" i="1"/>
  <c r="S102" i="1" s="1"/>
  <c r="K125" i="1"/>
  <c r="K136" i="1" s="1"/>
  <c r="U150" i="1"/>
  <c r="I39" i="1"/>
  <c r="M66" i="1"/>
  <c r="S66" i="1"/>
  <c r="K87" i="1"/>
  <c r="K88" i="1" s="1"/>
  <c r="I84" i="1"/>
  <c r="L102" i="1"/>
  <c r="T95" i="1"/>
  <c r="J100" i="1"/>
  <c r="I100" i="1" s="1"/>
  <c r="L125" i="1"/>
  <c r="L136" i="1" s="1"/>
  <c r="Q111" i="1"/>
  <c r="Q125" i="1" s="1"/>
  <c r="Q136" i="1" s="1"/>
  <c r="Q139" i="1"/>
  <c r="Q150" i="1" s="1"/>
  <c r="J55" i="1"/>
  <c r="J138" i="1"/>
  <c r="I15" i="1"/>
  <c r="I23" i="1"/>
  <c r="J34" i="1"/>
  <c r="I34" i="1" s="1"/>
  <c r="I31" i="1"/>
  <c r="X66" i="1"/>
  <c r="U58" i="1"/>
  <c r="U66" i="1" s="1"/>
  <c r="I144" i="1"/>
  <c r="I74" i="1"/>
  <c r="I87" i="1" s="1"/>
  <c r="L87" i="1"/>
  <c r="L88" i="1" s="1"/>
  <c r="Q88" i="1"/>
  <c r="K102" i="1"/>
  <c r="W102" i="1"/>
  <c r="R101" i="1"/>
  <c r="U136" i="1"/>
  <c r="P125" i="1"/>
  <c r="P136" i="1" s="1"/>
  <c r="R150" i="1"/>
  <c r="T55" i="1"/>
  <c r="I57" i="1"/>
  <c r="J58" i="1"/>
  <c r="I58" i="1" s="1"/>
  <c r="T66" i="1"/>
  <c r="Q58" i="1"/>
  <c r="Q66" i="1" s="1"/>
  <c r="M87" i="1"/>
  <c r="J139" i="1"/>
  <c r="I98" i="1"/>
  <c r="I139" i="1" s="1"/>
  <c r="X102" i="1"/>
  <c r="R125" i="1"/>
  <c r="R136" i="1" s="1"/>
  <c r="K55" i="1"/>
  <c r="K67" i="1" s="1"/>
  <c r="O55" i="1"/>
  <c r="O67" i="1" s="1"/>
  <c r="S55" i="1"/>
  <c r="S67" i="1" s="1"/>
  <c r="W55" i="1"/>
  <c r="W67" i="1" s="1"/>
  <c r="W137" i="1" s="1"/>
  <c r="T102" i="1"/>
  <c r="I12" i="1"/>
  <c r="I148" i="1"/>
  <c r="P55" i="1"/>
  <c r="X55" i="1"/>
  <c r="I27" i="1"/>
  <c r="I38" i="1"/>
  <c r="R67" i="1"/>
  <c r="P66" i="1"/>
  <c r="V88" i="1"/>
  <c r="U88" i="1" s="1"/>
  <c r="U87" i="1"/>
  <c r="P102" i="1"/>
  <c r="N101" i="1"/>
  <c r="T125" i="1"/>
  <c r="T136" i="1" s="1"/>
  <c r="V150" i="1"/>
  <c r="M142" i="1"/>
  <c r="I147" i="1"/>
  <c r="L138" i="1"/>
  <c r="P150" i="1"/>
  <c r="T138" i="1"/>
  <c r="T150" i="1" s="1"/>
  <c r="L149" i="1"/>
  <c r="I149" i="1" s="1"/>
  <c r="P149" i="1"/>
  <c r="Q55" i="1" l="1"/>
  <c r="I88" i="1"/>
  <c r="L150" i="1"/>
  <c r="W152" i="1"/>
  <c r="V102" i="1"/>
  <c r="J136" i="1"/>
  <c r="L137" i="1"/>
  <c r="O137" i="1"/>
  <c r="O152" i="1" s="1"/>
  <c r="V67" i="1"/>
  <c r="N55" i="1"/>
  <c r="N67" i="1" s="1"/>
  <c r="M54" i="1"/>
  <c r="M55" i="1" s="1"/>
  <c r="M67" i="1" s="1"/>
  <c r="S137" i="1"/>
  <c r="S152" i="1" s="1"/>
  <c r="K137" i="1"/>
  <c r="K152" i="1" s="1"/>
  <c r="U67" i="1"/>
  <c r="T67" i="1"/>
  <c r="T137" i="1" s="1"/>
  <c r="T152" i="1" s="1"/>
  <c r="J150" i="1"/>
  <c r="J101" i="1"/>
  <c r="I101" i="1" s="1"/>
  <c r="I102" i="1" s="1"/>
  <c r="X67" i="1"/>
  <c r="X137" i="1" s="1"/>
  <c r="X152" i="1" s="1"/>
  <c r="M101" i="1"/>
  <c r="M102" i="1" s="1"/>
  <c r="N102" i="1"/>
  <c r="J66" i="1"/>
  <c r="I66" i="1" s="1"/>
  <c r="Q67" i="1"/>
  <c r="M138" i="1"/>
  <c r="Q101" i="1"/>
  <c r="Q102" i="1" s="1"/>
  <c r="R102" i="1"/>
  <c r="R137" i="1" s="1"/>
  <c r="R152" i="1" s="1"/>
  <c r="P67" i="1"/>
  <c r="P137" i="1" s="1"/>
  <c r="P152" i="1" s="1"/>
  <c r="I138" i="1"/>
  <c r="I150" i="1" s="1"/>
  <c r="U102" i="1"/>
  <c r="I55" i="1"/>
  <c r="I67" i="1" s="1"/>
  <c r="J102" i="1"/>
  <c r="M150" i="1"/>
  <c r="J67" i="1"/>
  <c r="L152" i="1" l="1"/>
  <c r="U137" i="1"/>
  <c r="U152" i="1" s="1"/>
  <c r="V137" i="1"/>
  <c r="V152" i="1" s="1"/>
  <c r="I137" i="1"/>
  <c r="I152" i="1" s="1"/>
  <c r="N137" i="1"/>
  <c r="N152" i="1" s="1"/>
  <c r="M137" i="1"/>
  <c r="M152" i="1" s="1"/>
  <c r="Q137" i="1"/>
  <c r="Q152" i="1" s="1"/>
  <c r="J137" i="1"/>
  <c r="J1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Sonata Šmatauskienė</author>
  </authors>
  <commentList>
    <comment ref="D10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Sonata Šmatauskienė: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Gargždų pėsčiųjų viaduko kapitalinis remontas - 85,0 Eur;
Veiviržėnų kapinių vartų tvarkyba - 30,0 Eur;
Vėžaičių dvaro sodybos pietinių ir šiaurinių vartų tvarkyba - 85,0 Eur;
Ablingos nuvirtusios skulptūros restauravimas ir atstatymas - 4,0 Eur (vykdytojas Endriejavo seniūnija);
Hidranto (vandens pompos) Priekulės m. pajungimas - 4,0 Eur;
metalinių vartų restauracija ir įrengimas tarp pastatų Klaipėdos g. 11 ir 13 - 2,0 Eur (vykdytojas Priekulės seniūnija)</t>
        </r>
        <r>
          <rPr>
            <sz val="9"/>
            <color indexed="81"/>
            <rFont val="Tahoma"/>
            <family val="2"/>
            <charset val="186"/>
          </rPr>
          <t xml:space="preserve">
2023-2024 m. Karaliaus Vilhelmo kanalo statinių komplekso Lankupių šliuzo remonto techninio projekto parengimas - po 20,0 Eur (vykdytojas Statybos ir infrastruktūros skyrius)</t>
        </r>
      </text>
    </comment>
    <comment ref="D12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Sonata Šmatauskienė:</t>
        </r>
        <r>
          <rPr>
            <sz val="9"/>
            <color indexed="81"/>
            <rFont val="Tahoma"/>
            <family val="2"/>
            <charset val="186"/>
          </rPr>
          <t xml:space="preserve">
Veiviržėnų ir Eketės piliakalniai</t>
        </r>
      </text>
    </comment>
    <comment ref="D1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Sonata Šmatauskienė:</t>
        </r>
        <r>
          <rPr>
            <sz val="9"/>
            <color indexed="81"/>
            <rFont val="Tahoma"/>
            <family val="2"/>
            <charset val="186"/>
          </rPr>
          <t xml:space="preserve">
KPO atskleidimas;
archeologiniai tyrimai Kukuliškių piliakalnyje pagal PRPD prašymai);
Vertinimo tarybos organizavimas; 
EPD renginių organizavimas.
</t>
        </r>
      </text>
    </comment>
  </commentList>
</comments>
</file>

<file path=xl/sharedStrings.xml><?xml version="1.0" encoding="utf-8"?>
<sst xmlns="http://schemas.openxmlformats.org/spreadsheetml/2006/main" count="294" uniqueCount="142">
  <si>
    <t>Klaipėdos rajono savivaldybės strateginio veiklos plano 2022-2024 m. 
1 priedas</t>
  </si>
  <si>
    <t>2022-2024 METŲ KULTŪROS PAVELDO PUOSELĖJIMO IR KULTŪROS PASLAUGŲ PLĖTROS PROGRAMOS TIKSLŲ, UŽDAVINIŲ IR PRIEMONIŲ ASIGNAVIMŲ SUVESTINĖ</t>
  </si>
  <si>
    <t>tūkst. eurų</t>
  </si>
  <si>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</si>
  <si>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</si>
  <si>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</si>
  <si>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</si>
  <si>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</si>
  <si>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</si>
  <si>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</si>
  <si>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</si>
  <si>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2021 m. faktas</t>
  </si>
  <si>
    <t>2022 m. asignavimai</t>
  </si>
  <si>
    <t>2023 m. išlaidų projektas</t>
  </si>
  <si>
    <t>2024 m. išlaidų projektas</t>
  </si>
  <si>
    <t>iš viso</t>
  </si>
  <si>
    <t>iš jų</t>
  </si>
  <si>
    <t>išlaidoms</t>
  </si>
  <si>
    <t>turtui įsigyti</t>
  </si>
  <si>
    <t xml:space="preserve">iš jų darbo užmokesčiui                    </t>
  </si>
  <si>
    <t>3 strateginis tikslas. Puoselėti kultūrą ir kūno kultūrą rajone</t>
  </si>
  <si>
    <t>7 Kultūros paveldo puoselėjimo ir kultūros paslaugų plėtros programa</t>
  </si>
  <si>
    <t>Užtikrinti kultūros srities paslaugų teikimą</t>
  </si>
  <si>
    <t>Teikti kultūros paslaugas Savivaldybės kultūros įstaigose</t>
  </si>
  <si>
    <t>BĮ Gargždų kultūros centro veiklos organizavimas</t>
  </si>
  <si>
    <t>7.4</t>
  </si>
  <si>
    <t>08.02.01.08.</t>
  </si>
  <si>
    <t>7.1.1.2.</t>
  </si>
  <si>
    <t>SB</t>
  </si>
  <si>
    <t>S</t>
  </si>
  <si>
    <t>VBD</t>
  </si>
  <si>
    <t>Iš viso priemonei:</t>
  </si>
  <si>
    <t>BĮ Gargždų kultūros centro kino teatro „Minija“ veiklos organizavimas</t>
  </si>
  <si>
    <t>7.1.1.1.</t>
  </si>
  <si>
    <t>BĮ Kretingalės kultūros centro veiklos organizavimas</t>
  </si>
  <si>
    <t>7.5</t>
  </si>
  <si>
    <t>7.1.1.3.</t>
  </si>
  <si>
    <t>BĮ Priekulės kultūros centro veiklos organizavimas</t>
  </si>
  <si>
    <t>7.6</t>
  </si>
  <si>
    <t>7.1.1.4.</t>
  </si>
  <si>
    <t>BĮ Veiviržėnų kultūros centro veiklos organizavimas</t>
  </si>
  <si>
    <t>7.7</t>
  </si>
  <si>
    <t>7.1.1.5.</t>
  </si>
  <si>
    <t>BĮ Vėžaičių kultūros centro veiklos organizavimas</t>
  </si>
  <si>
    <t>7.8</t>
  </si>
  <si>
    <t>7.1.1.6.</t>
  </si>
  <si>
    <t>BĮ Dovilų etninės kultūros centro veiklos organizavimas</t>
  </si>
  <si>
    <t>7.2</t>
  </si>
  <si>
    <t>7.1.1.7.</t>
  </si>
  <si>
    <t>J. Lankučio viešosios bibliotekos ir jos filialų veiklos organizavimas</t>
  </si>
  <si>
    <t>7.1</t>
  </si>
  <si>
    <t>08.02.01.01.</t>
  </si>
  <si>
    <t>7.2.1.1.</t>
  </si>
  <si>
    <t>VBM</t>
  </si>
  <si>
    <t>Kultūros įstaigų elektros ir kuro išlaidų finansavimas</t>
  </si>
  <si>
    <t>9</t>
  </si>
  <si>
    <t>7.1.1.9.</t>
  </si>
  <si>
    <t>Kultūros įstaigų patalpų remontas, tarnybinių automobilių remontas, organizacinės technikos, priemonių įsigijimas, kultūros veikloms organizuoti</t>
  </si>
  <si>
    <t>7</t>
  </si>
  <si>
    <t>7.1.1.10.</t>
  </si>
  <si>
    <t>7.3</t>
  </si>
  <si>
    <t>Iš viso uždaviniui:</t>
  </si>
  <si>
    <t>Sudaryti sąlygas kultūrinės veiklos organizavimui ir kultūros sklaidai Klaipėdos rajone</t>
  </si>
  <si>
    <t>Mėgėjų meno kolektyvų atstovavimas tarptautiniuose renginiuose atstovaujant Klaipėdos rajonui ir prisidėjimas prie Kultūros tarybos finasuojamų projektų</t>
  </si>
  <si>
    <t>08.02.01.06.</t>
  </si>
  <si>
    <t>7.1.2.9.</t>
  </si>
  <si>
    <t>Projekto "Istorijos kryžkelės" įgyvendinimas</t>
  </si>
  <si>
    <t>08.02.01.07.</t>
  </si>
  <si>
    <t>7.1.2.19.</t>
  </si>
  <si>
    <t>VBES</t>
  </si>
  <si>
    <t>ES</t>
  </si>
  <si>
    <t>1.</t>
  </si>
  <si>
    <t>2.</t>
  </si>
  <si>
    <t>3.</t>
  </si>
  <si>
    <t>Klaipėdos rajonui reikšmingų datų, įvykių, asmenybių įamžinimas</t>
  </si>
  <si>
    <t>7.1.2.20.</t>
  </si>
  <si>
    <t>Iš viso tikslui:</t>
  </si>
  <si>
    <t>Modernizuoti kultūros įstaigų infrastruktūrą</t>
  </si>
  <si>
    <t>Remontuoti ir rekonstruoti kultūros įstaigų infrastruktūrą</t>
  </si>
  <si>
    <t>Projekto „Plikių kultūros namų pastato modernizavimas“ įgyvendinimas</t>
  </si>
  <si>
    <t>7.3.1.11.</t>
  </si>
  <si>
    <t>Endriejavo kultūros namų, bibliotekos ir seniūnijos šildymo sistemų ir kultūros paskirties pastatų modernizavimas</t>
  </si>
  <si>
    <t>7.3.1.36.</t>
  </si>
  <si>
    <t>319.7</t>
  </si>
  <si>
    <t>SL</t>
  </si>
  <si>
    <t>LK</t>
  </si>
  <si>
    <t xml:space="preserve">Gargždų kultūros centro pastato modernizavimas </t>
  </si>
  <si>
    <t>7.3.1.38.</t>
  </si>
  <si>
    <t>VBD (VIP)</t>
  </si>
  <si>
    <t xml:space="preserve">Veiviržėnų kultūros centro pastato modernizavimas </t>
  </si>
  <si>
    <t>7.3.1.39.</t>
  </si>
  <si>
    <t xml:space="preserve">Puoselėti krašto etnografinį savitumą, papročių bei tradicijų autentiškumą ir perimamumą </t>
  </si>
  <si>
    <t>Užtikrinti krašto etninės kultūros vertybių perimamumą, apsaugą ir populiarinimą, tenkinant visuomenės etnokultūrinius poreikius</t>
  </si>
  <si>
    <t>Etninės kultūros plėtros programos įgyvendinimas</t>
  </si>
  <si>
    <t>7.4.1.1.</t>
  </si>
  <si>
    <t>Premijų Klaipėdos rajonui nusipelniusiems ir pasižymėjusiems asmenims skyrimas</t>
  </si>
  <si>
    <t>08.06.01.01.</t>
  </si>
  <si>
    <t>7.4.1.2.</t>
  </si>
  <si>
    <t>Pristatyti ir skleisti krašto istoriją vykdant muziejaus veiklą</t>
  </si>
  <si>
    <t>Gargždų krašto muziejaus ir jo filialų veiklos organizavimas</t>
  </si>
  <si>
    <t>08.02.01.02.</t>
  </si>
  <si>
    <t>7.2.2.1.</t>
  </si>
  <si>
    <t>Išsaugoti kultūros paveldą ir jo kultūrinę vertę</t>
  </si>
  <si>
    <t>Organizuoti kultūros vertybių tvarkymą ir išsaugojimą</t>
  </si>
  <si>
    <t>Senųjų kapinių tvarkymo ir priežiūros darbai</t>
  </si>
  <si>
    <t>7.5.1.1.</t>
  </si>
  <si>
    <t xml:space="preserve">Kultūros paveldo objektų ir jų vertingųjų savybių išsaugojimo darbai </t>
  </si>
  <si>
    <t>7.5.1.35.</t>
  </si>
  <si>
    <t>7.5.1.35.28.</t>
  </si>
  <si>
    <t>7.5.1.35.32</t>
  </si>
  <si>
    <t>Žydų žudynių ir užkasimo vietų išsaugojimas ir įprasminimas</t>
  </si>
  <si>
    <t>7.5.1.30.</t>
  </si>
  <si>
    <t>Projekto "Bendradarbiavimas per sieną nuo kranto iki kranto (Cross-border Cooperation from Coast to Coast)" įgyvendinimas</t>
  </si>
  <si>
    <t>7.5.1.43.</t>
  </si>
  <si>
    <t>Kt</t>
  </si>
  <si>
    <t>ES (Kt)</t>
  </si>
  <si>
    <t>Kultūros paveldo objektų, esančių Klaipėdos rajono savivaldybės teritorijoje, ir kultūros paveldo statinių, esančių Priekulės miesto istorinėje dalyje, išsaugojimo darbų dalinis finansavimas</t>
  </si>
  <si>
    <t>7.5.1.56.</t>
  </si>
  <si>
    <t>Piliakalnių pritaikymo turizmo ir visuomenės poreikiams įgyvendinimas</t>
  </si>
  <si>
    <t>7.5.1.68.</t>
  </si>
  <si>
    <t>Kultūros paveldo objektų apskaita (inventorizavimas, atskleidimas, registravimas), taikomieji tyrimai, pažinimas ir sklaida</t>
  </si>
  <si>
    <t>7.5.2.1.</t>
  </si>
  <si>
    <t>Organizuoti religinio paveldo objektų tvarkymą ir išsaugojimą</t>
  </si>
  <si>
    <t>Koplyčios-mauzoliejaus, esančio Stragnų II k., Priekulės sen.,  restauravimo darbų techninio projekto parengimas ir įgyvendinimas</t>
  </si>
  <si>
    <t>7.5.1.26.</t>
  </si>
  <si>
    <t>Saugomų mažosios architektūros (lurdų, skulptūrų, kryžių, koplytėlių, koplytstulpių ir kt.) objektų tvarkymo ir priežiūros darbai</t>
  </si>
  <si>
    <t>7.5.1.71.</t>
  </si>
  <si>
    <t>7.5.1.71.32.</t>
  </si>
  <si>
    <t>Iš viso programai: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</si>
  <si>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</si>
  <si>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</si>
  <si>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</si>
  <si>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r>
      <t xml:space="preserve">ES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</si>
  <si>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</si>
  <si>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</si>
  <si>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r>
      <t xml:space="preserve">Valstybės biudžeto lėšos ES struktūrinių fondų projektams </t>
    </r>
    <r>
      <rPr>
        <b/>
        <sz val="8"/>
        <rFont val="Arial"/>
        <family val="2"/>
        <charset val="186"/>
      </rPr>
      <t>VBES</t>
    </r>
  </si>
  <si>
    <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</si>
  <si>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</si>
  <si>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r>
      <t xml:space="preserve">Valstybės biudžeto dotacijos socialinei paramai </t>
    </r>
    <r>
      <rPr>
        <b/>
        <sz val="8"/>
        <rFont val="Arial"/>
        <family val="2"/>
        <charset val="186"/>
      </rPr>
      <t>VBM</t>
    </r>
  </si>
  <si>
    <r>
      <t xml:space="preserve">Valstybės biudžeto lėšos deleguotoms funkcijoms atlikti </t>
    </r>
    <r>
      <rPr>
        <b/>
        <sz val="8"/>
        <rFont val="Arial"/>
        <family val="2"/>
        <charset val="186"/>
      </rPr>
      <t>VBD</t>
    </r>
  </si>
  <si>
    <r>
      <rPr>
        <sz val="8"/>
        <rFont val="Arial"/>
        <family val="2"/>
        <charset val="186"/>
      </rPr>
      <t xml:space="preserve">Dotacija valstybės investicijų programoje numatytiems projektams įgyvendinti </t>
    </r>
    <r>
      <rPr>
        <b/>
        <sz val="8"/>
        <rFont val="Arial"/>
        <family val="2"/>
        <charset val="186"/>
      </rPr>
      <t>VBD (VIP)</t>
    </r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</si>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</sst>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Calibri"/>
      <family val="2"/>
      <charset val="186"/>
    </font>
    <font>
      <b/>
      <sz val="12"/>
      <name val="Arial"/>
      <family val="2"/>
      <charset val="186"/>
    </font>
    <font>
      <b/>
      <sz val="8"/>
      <name val="Calibri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11"/>
      <color indexed="10"/>
      <name val="Calibri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7"/>
      <name val="Calibri"/>
      <family val="2"/>
      <charset val="186"/>
    </font>
    <font>
      <b/>
      <sz val="7"/>
      <name val="Calibri"/>
      <family val="2"/>
      <charset val="186"/>
    </font>
    <font>
      <sz val="7"/>
      <color indexed="8"/>
      <name val="Calibri"/>
      <family val="2"/>
      <charset val="186"/>
    </font>
    <font>
      <b/>
      <sz val="7"/>
      <color indexed="8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4" fillId="0" borderId="2" xfId="1" applyFont="1" applyBorder="1"/>
    <xf numFmtId="164" fontId="5" fillId="0" borderId="2" xfId="1" applyNumberFormat="1" applyFont="1" applyBorder="1" applyAlignment="1">
      <alignment vertical="center" wrapText="1"/>
    </xf>
    <xf numFmtId="164" fontId="6" fillId="0" borderId="2" xfId="1" applyNumberFormat="1" applyFont="1" applyBorder="1"/>
    <xf numFmtId="0" fontId="1" fillId="0" borderId="0" xfId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4" fillId="0" borderId="0" xfId="1" applyFont="1" applyBorder="1"/>
    <xf numFmtId="164" fontId="8" fillId="0" borderId="0" xfId="1" applyNumberFormat="1" applyFont="1" applyBorder="1"/>
    <xf numFmtId="164" fontId="6" fillId="0" borderId="0" xfId="1" applyNumberFormat="1" applyFont="1" applyBorder="1"/>
    <xf numFmtId="0" fontId="1" fillId="0" borderId="0" xfId="1" applyBorder="1"/>
    <xf numFmtId="0" fontId="9" fillId="0" borderId="0" xfId="1" applyFont="1"/>
    <xf numFmtId="164" fontId="9" fillId="0" borderId="18" xfId="1" applyNumberFormat="1" applyFont="1" applyBorder="1" applyAlignment="1">
      <alignment horizontal="centerContinuous" vertical="center" wrapText="1"/>
    </xf>
    <xf numFmtId="164" fontId="9" fillId="0" borderId="20" xfId="1" applyNumberFormat="1" applyFont="1" applyBorder="1" applyAlignment="1">
      <alignment horizontal="center" vertical="center" textRotation="90"/>
    </xf>
    <xf numFmtId="164" fontId="9" fillId="0" borderId="20" xfId="1" applyNumberFormat="1" applyFont="1" applyBorder="1" applyAlignment="1">
      <alignment horizontal="center" vertical="center" textRotation="90" wrapText="1"/>
    </xf>
    <xf numFmtId="0" fontId="10" fillId="0" borderId="0" xfId="1" applyFont="1" applyAlignment="1">
      <alignment horizontal="left"/>
    </xf>
    <xf numFmtId="0" fontId="9" fillId="4" borderId="22" xfId="1" applyFont="1" applyFill="1" applyBorder="1" applyAlignment="1">
      <alignment horizontal="center" vertical="center" wrapText="1"/>
    </xf>
    <xf numFmtId="0" fontId="10" fillId="0" borderId="0" xfId="1" applyFont="1"/>
    <xf numFmtId="0" fontId="9" fillId="5" borderId="18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164" fontId="9" fillId="0" borderId="28" xfId="1" applyNumberFormat="1" applyFont="1" applyBorder="1" applyAlignment="1">
      <alignment horizontal="center" vertical="center" wrapText="1"/>
    </xf>
    <xf numFmtId="164" fontId="9" fillId="0" borderId="29" xfId="1" applyNumberFormat="1" applyFont="1" applyBorder="1" applyAlignment="1">
      <alignment horizontal="center" vertical="center" wrapText="1"/>
    </xf>
    <xf numFmtId="164" fontId="9" fillId="0" borderId="28" xfId="1" applyNumberFormat="1" applyFont="1" applyFill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164" fontId="9" fillId="0" borderId="22" xfId="1" applyNumberFormat="1" applyFont="1" applyBorder="1" applyAlignment="1">
      <alignment horizontal="center" vertical="center" wrapText="1"/>
    </xf>
    <xf numFmtId="164" fontId="9" fillId="0" borderId="18" xfId="1" applyNumberFormat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164" fontId="9" fillId="0" borderId="32" xfId="1" applyNumberFormat="1" applyFont="1" applyBorder="1" applyAlignment="1">
      <alignment horizontal="center" vertical="center" wrapText="1"/>
    </xf>
    <xf numFmtId="164" fontId="9" fillId="0" borderId="33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164" fontId="9" fillId="6" borderId="37" xfId="1" applyNumberFormat="1" applyFont="1" applyFill="1" applyBorder="1" applyAlignment="1">
      <alignment horizontal="center" vertical="center" wrapText="1"/>
    </xf>
    <xf numFmtId="164" fontId="9" fillId="6" borderId="38" xfId="1" applyNumberFormat="1" applyFont="1" applyFill="1" applyBorder="1" applyAlignment="1">
      <alignment horizontal="center" vertical="center" wrapText="1"/>
    </xf>
    <xf numFmtId="164" fontId="9" fillId="6" borderId="39" xfId="1" applyNumberFormat="1" applyFont="1" applyFill="1" applyBorder="1" applyAlignment="1">
      <alignment horizontal="center" vertical="center" wrapText="1"/>
    </xf>
    <xf numFmtId="164" fontId="9" fillId="0" borderId="40" xfId="1" applyNumberFormat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164" fontId="9" fillId="0" borderId="41" xfId="1" applyNumberFormat="1" applyFont="1" applyBorder="1" applyAlignment="1">
      <alignment horizontal="center" vertical="center" wrapText="1"/>
    </xf>
    <xf numFmtId="0" fontId="9" fillId="7" borderId="11" xfId="1" applyFont="1" applyFill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9" fillId="0" borderId="11" xfId="1" applyNumberFormat="1" applyFont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7" borderId="11" xfId="1" applyNumberFormat="1" applyFont="1" applyFill="1" applyBorder="1" applyAlignment="1">
      <alignment horizontal="center" vertical="center" wrapText="1"/>
    </xf>
    <xf numFmtId="0" fontId="9" fillId="7" borderId="23" xfId="1" applyFont="1" applyFill="1" applyBorder="1" applyAlignment="1">
      <alignment horizontal="center" vertical="center" wrapText="1"/>
    </xf>
    <xf numFmtId="164" fontId="9" fillId="0" borderId="42" xfId="1" applyNumberFormat="1" applyFont="1" applyBorder="1" applyAlignment="1">
      <alignment horizontal="center" vertical="center" wrapText="1"/>
    </xf>
    <xf numFmtId="164" fontId="9" fillId="7" borderId="23" xfId="1" applyNumberFormat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center" vertical="center" wrapText="1"/>
    </xf>
    <xf numFmtId="164" fontId="9" fillId="0" borderId="43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164" fontId="9" fillId="7" borderId="5" xfId="1" applyNumberFormat="1" applyFont="1" applyFill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center" vertical="center" wrapText="1"/>
    </xf>
    <xf numFmtId="0" fontId="9" fillId="7" borderId="34" xfId="1" applyFont="1" applyFill="1" applyBorder="1" applyAlignment="1">
      <alignment horizontal="center" vertical="center" wrapText="1"/>
    </xf>
    <xf numFmtId="164" fontId="9" fillId="8" borderId="11" xfId="1" applyNumberFormat="1" applyFont="1" applyFill="1" applyBorder="1" applyAlignment="1">
      <alignment horizontal="center" vertical="center" wrapText="1"/>
    </xf>
    <xf numFmtId="0" fontId="9" fillId="7" borderId="14" xfId="1" applyFont="1" applyFill="1" applyBorder="1" applyAlignment="1">
      <alignment horizontal="center" vertical="center" wrapText="1"/>
    </xf>
    <xf numFmtId="0" fontId="9" fillId="7" borderId="31" xfId="1" applyFont="1" applyFill="1" applyBorder="1" applyAlignment="1">
      <alignment horizontal="center" vertical="center" wrapText="1"/>
    </xf>
    <xf numFmtId="164" fontId="9" fillId="6" borderId="44" xfId="1" applyNumberFormat="1" applyFont="1" applyFill="1" applyBorder="1" applyAlignment="1">
      <alignment horizontal="center" vertical="center" wrapText="1"/>
    </xf>
    <xf numFmtId="164" fontId="9" fillId="6" borderId="45" xfId="1" applyNumberFormat="1" applyFont="1" applyFill="1" applyBorder="1" applyAlignment="1">
      <alignment horizontal="center" vertical="center" wrapText="1"/>
    </xf>
    <xf numFmtId="164" fontId="9" fillId="6" borderId="3" xfId="1" applyNumberFormat="1" applyFont="1" applyFill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164" fontId="9" fillId="0" borderId="46" xfId="1" applyNumberFormat="1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9" fillId="0" borderId="25" xfId="1" applyNumberFormat="1" applyFont="1" applyBorder="1" applyAlignment="1">
      <alignment horizontal="center" vertical="center" wrapText="1"/>
    </xf>
    <xf numFmtId="164" fontId="9" fillId="6" borderId="32" xfId="1" applyNumberFormat="1" applyFont="1" applyFill="1" applyBorder="1" applyAlignment="1">
      <alignment horizontal="center" vertical="center" wrapText="1"/>
    </xf>
    <xf numFmtId="164" fontId="9" fillId="6" borderId="33" xfId="1" applyNumberFormat="1" applyFont="1" applyFill="1" applyBorder="1" applyAlignment="1">
      <alignment horizontal="center" vertical="center" wrapText="1"/>
    </xf>
    <xf numFmtId="164" fontId="9" fillId="6" borderId="7" xfId="1" applyNumberFormat="1" applyFont="1" applyFill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 wrapText="1"/>
    </xf>
    <xf numFmtId="164" fontId="9" fillId="8" borderId="43" xfId="1" applyNumberFormat="1" applyFont="1" applyFill="1" applyBorder="1" applyAlignment="1">
      <alignment horizontal="center" vertical="center" wrapText="1"/>
    </xf>
    <xf numFmtId="164" fontId="9" fillId="8" borderId="45" xfId="1" applyNumberFormat="1" applyFont="1" applyFill="1" applyBorder="1" applyAlignment="1">
      <alignment horizontal="center" vertical="center" wrapText="1"/>
    </xf>
    <xf numFmtId="164" fontId="9" fillId="8" borderId="2" xfId="1" applyNumberFormat="1" applyFont="1" applyFill="1" applyBorder="1" applyAlignment="1">
      <alignment horizontal="center" vertical="center" wrapText="1"/>
    </xf>
    <xf numFmtId="164" fontId="9" fillId="8" borderId="44" xfId="1" applyNumberFormat="1" applyFont="1" applyFill="1" applyBorder="1" applyAlignment="1">
      <alignment horizontal="center" vertical="center" wrapText="1"/>
    </xf>
    <xf numFmtId="164" fontId="9" fillId="8" borderId="3" xfId="1" applyNumberFormat="1" applyFont="1" applyFill="1" applyBorder="1" applyAlignment="1">
      <alignment horizontal="center" vertical="center" wrapText="1"/>
    </xf>
    <xf numFmtId="164" fontId="9" fillId="0" borderId="37" xfId="1" applyNumberFormat="1" applyFont="1" applyBorder="1" applyAlignment="1">
      <alignment horizontal="center" vertical="center" wrapText="1"/>
    </xf>
    <xf numFmtId="164" fontId="9" fillId="6" borderId="2" xfId="1" applyNumberFormat="1" applyFont="1" applyFill="1" applyBorder="1" applyAlignment="1">
      <alignment horizontal="center" vertical="center" wrapText="1"/>
    </xf>
    <xf numFmtId="49" fontId="9" fillId="0" borderId="28" xfId="1" applyNumberFormat="1" applyFont="1" applyBorder="1" applyAlignment="1">
      <alignment horizontal="center" vertical="center" wrapText="1"/>
    </xf>
    <xf numFmtId="164" fontId="9" fillId="8" borderId="51" xfId="1" applyNumberFormat="1" applyFont="1" applyFill="1" applyBorder="1" applyAlignment="1">
      <alignment horizontal="center" vertical="center" wrapText="1"/>
    </xf>
    <xf numFmtId="164" fontId="9" fillId="8" borderId="10" xfId="1" applyNumberFormat="1" applyFont="1" applyFill="1" applyBorder="1" applyAlignment="1">
      <alignment horizontal="center" vertical="center" wrapText="1"/>
    </xf>
    <xf numFmtId="164" fontId="9" fillId="8" borderId="9" xfId="1" applyNumberFormat="1" applyFont="1" applyFill="1" applyBorder="1" applyAlignment="1">
      <alignment horizontal="center" vertical="center" wrapText="1"/>
    </xf>
    <xf numFmtId="49" fontId="9" fillId="0" borderId="18" xfId="1" applyNumberFormat="1" applyFont="1" applyBorder="1" applyAlignment="1">
      <alignment horizontal="center" vertical="center" wrapText="1"/>
    </xf>
    <xf numFmtId="164" fontId="9" fillId="8" borderId="18" xfId="1" applyNumberFormat="1" applyFont="1" applyFill="1" applyBorder="1" applyAlignment="1">
      <alignment horizontal="center" vertical="center" wrapText="1"/>
    </xf>
    <xf numFmtId="164" fontId="9" fillId="8" borderId="23" xfId="1" applyNumberFormat="1" applyFont="1" applyFill="1" applyBorder="1" applyAlignment="1">
      <alignment horizontal="center" vertical="center" wrapText="1"/>
    </xf>
    <xf numFmtId="164" fontId="9" fillId="8" borderId="22" xfId="1" applyNumberFormat="1" applyFont="1" applyFill="1" applyBorder="1" applyAlignment="1">
      <alignment horizontal="center" vertical="center" wrapText="1"/>
    </xf>
    <xf numFmtId="164" fontId="9" fillId="8" borderId="28" xfId="1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164" fontId="9" fillId="5" borderId="55" xfId="1" applyNumberFormat="1" applyFont="1" applyFill="1" applyBorder="1" applyAlignment="1">
      <alignment horizontal="center" vertical="center" wrapText="1"/>
    </xf>
    <xf numFmtId="164" fontId="9" fillId="5" borderId="56" xfId="1" applyNumberFormat="1" applyFont="1" applyFill="1" applyBorder="1" applyAlignment="1">
      <alignment horizontal="center" vertical="center" wrapText="1"/>
    </xf>
    <xf numFmtId="164" fontId="9" fillId="5" borderId="57" xfId="1" applyNumberFormat="1" applyFont="1" applyFill="1" applyBorder="1" applyAlignment="1">
      <alignment horizontal="center" vertical="center" wrapText="1"/>
    </xf>
    <xf numFmtId="0" fontId="9" fillId="5" borderId="34" xfId="1" applyFont="1" applyFill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7" borderId="47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center" vertical="center" wrapText="1"/>
    </xf>
    <xf numFmtId="164" fontId="9" fillId="7" borderId="10" xfId="1" applyNumberFormat="1" applyFont="1" applyFill="1" applyBorder="1" applyAlignment="1">
      <alignment horizontal="center" vertical="center" wrapText="1"/>
    </xf>
    <xf numFmtId="164" fontId="9" fillId="6" borderId="48" xfId="1" applyNumberFormat="1" applyFont="1" applyFill="1" applyBorder="1" applyAlignment="1">
      <alignment horizontal="center" vertical="center" wrapText="1"/>
    </xf>
    <xf numFmtId="164" fontId="9" fillId="6" borderId="49" xfId="1" applyNumberFormat="1" applyFont="1" applyFill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164" fontId="9" fillId="0" borderId="59" xfId="1" applyNumberFormat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165" fontId="9" fillId="0" borderId="16" xfId="1" applyNumberFormat="1" applyFont="1" applyBorder="1" applyAlignment="1">
      <alignment horizontal="center" vertical="center" wrapText="1"/>
    </xf>
    <xf numFmtId="164" fontId="9" fillId="0" borderId="60" xfId="1" applyNumberFormat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165" fontId="9" fillId="0" borderId="32" xfId="1" applyNumberFormat="1" applyFont="1" applyBorder="1" applyAlignment="1">
      <alignment horizontal="center" vertical="center" wrapText="1"/>
    </xf>
    <xf numFmtId="165" fontId="9" fillId="0" borderId="33" xfId="1" applyNumberFormat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164" fontId="9" fillId="10" borderId="58" xfId="1" applyNumberFormat="1" applyFont="1" applyFill="1" applyBorder="1" applyAlignment="1">
      <alignment horizontal="center" vertical="center" wrapText="1"/>
    </xf>
    <xf numFmtId="164" fontId="9" fillId="10" borderId="48" xfId="1" applyNumberFormat="1" applyFont="1" applyFill="1" applyBorder="1" applyAlignment="1">
      <alignment horizontal="center" vertical="center" wrapText="1"/>
    </xf>
    <xf numFmtId="164" fontId="9" fillId="10" borderId="49" xfId="1" applyNumberFormat="1" applyFont="1" applyFill="1" applyBorder="1" applyAlignment="1">
      <alignment horizontal="center" vertical="center" wrapText="1"/>
    </xf>
    <xf numFmtId="164" fontId="9" fillId="10" borderId="37" xfId="1" applyNumberFormat="1" applyFont="1" applyFill="1" applyBorder="1" applyAlignment="1">
      <alignment horizontal="center" vertical="center" wrapText="1"/>
    </xf>
    <xf numFmtId="0" fontId="9" fillId="8" borderId="34" xfId="1" applyFont="1" applyFill="1" applyBorder="1" applyAlignment="1">
      <alignment horizontal="center" vertical="center" wrapText="1"/>
    </xf>
    <xf numFmtId="164" fontId="9" fillId="8" borderId="27" xfId="1" applyNumberFormat="1" applyFont="1" applyFill="1" applyBorder="1" applyAlignment="1">
      <alignment horizontal="center" vertical="center" wrapText="1"/>
    </xf>
    <xf numFmtId="0" fontId="9" fillId="10" borderId="37" xfId="1" applyFont="1" applyFill="1" applyBorder="1" applyAlignment="1">
      <alignment vertical="center" wrapText="1"/>
    </xf>
    <xf numFmtId="0" fontId="9" fillId="10" borderId="48" xfId="1" applyFont="1" applyFill="1" applyBorder="1" applyAlignment="1">
      <alignment vertical="center" wrapText="1"/>
    </xf>
    <xf numFmtId="164" fontId="9" fillId="10" borderId="38" xfId="1" applyNumberFormat="1" applyFont="1" applyFill="1" applyBorder="1" applyAlignment="1">
      <alignment horizontal="center" vertical="center" wrapText="1"/>
    </xf>
    <xf numFmtId="164" fontId="9" fillId="10" borderId="44" xfId="1" applyNumberFormat="1" applyFont="1" applyFill="1" applyBorder="1" applyAlignment="1">
      <alignment horizontal="center" vertical="center" wrapText="1"/>
    </xf>
    <xf numFmtId="0" fontId="9" fillId="4" borderId="62" xfId="1" applyFont="1" applyFill="1" applyBorder="1" applyAlignment="1">
      <alignment horizontal="center" vertical="center" wrapText="1"/>
    </xf>
    <xf numFmtId="0" fontId="9" fillId="5" borderId="63" xfId="1" applyFont="1" applyFill="1" applyBorder="1" applyAlignment="1">
      <alignment horizontal="center" vertical="center" wrapText="1"/>
    </xf>
    <xf numFmtId="164" fontId="9" fillId="5" borderId="9" xfId="1" applyNumberFormat="1" applyFont="1" applyFill="1" applyBorder="1" applyAlignment="1">
      <alignment horizontal="center" vertical="center" wrapText="1"/>
    </xf>
    <xf numFmtId="164" fontId="9" fillId="5" borderId="28" xfId="1" applyNumberFormat="1" applyFont="1" applyFill="1" applyBorder="1" applyAlignment="1">
      <alignment horizontal="center" vertical="center" wrapText="1"/>
    </xf>
    <xf numFmtId="164" fontId="9" fillId="5" borderId="52" xfId="1" applyNumberFormat="1" applyFont="1" applyFill="1" applyBorder="1" applyAlignment="1">
      <alignment horizontal="center" vertical="center" wrapText="1"/>
    </xf>
    <xf numFmtId="164" fontId="9" fillId="5" borderId="37" xfId="1" applyNumberFormat="1" applyFont="1" applyFill="1" applyBorder="1" applyAlignment="1">
      <alignment horizontal="center" vertical="center" wrapText="1"/>
    </xf>
    <xf numFmtId="164" fontId="9" fillId="5" borderId="48" xfId="1" applyNumberFormat="1" applyFont="1" applyFill="1" applyBorder="1" applyAlignment="1">
      <alignment horizontal="center" vertical="center" wrapText="1"/>
    </xf>
    <xf numFmtId="164" fontId="9" fillId="5" borderId="61" xfId="1" applyNumberFormat="1" applyFont="1" applyFill="1" applyBorder="1" applyAlignment="1">
      <alignment horizontal="center" vertical="center" wrapText="1"/>
    </xf>
    <xf numFmtId="164" fontId="9" fillId="5" borderId="50" xfId="1" applyNumberFormat="1" applyFont="1" applyFill="1" applyBorder="1" applyAlignment="1">
      <alignment horizontal="center" vertical="center" wrapText="1"/>
    </xf>
    <xf numFmtId="0" fontId="9" fillId="4" borderId="64" xfId="1" applyFont="1" applyFill="1" applyBorder="1" applyAlignment="1">
      <alignment horizontal="center" vertical="center" wrapText="1"/>
    </xf>
    <xf numFmtId="164" fontId="9" fillId="4" borderId="32" xfId="1" applyNumberFormat="1" applyFont="1" applyFill="1" applyBorder="1" applyAlignment="1">
      <alignment horizontal="center" vertical="center" wrapText="1"/>
    </xf>
    <xf numFmtId="164" fontId="9" fillId="4" borderId="52" xfId="1" applyNumberFormat="1" applyFont="1" applyFill="1" applyBorder="1" applyAlignment="1">
      <alignment horizontal="center" vertical="center" wrapText="1"/>
    </xf>
    <xf numFmtId="164" fontId="9" fillId="4" borderId="48" xfId="1" applyNumberFormat="1" applyFont="1" applyFill="1" applyBorder="1" applyAlignment="1">
      <alignment horizontal="center" vertical="center" wrapText="1"/>
    </xf>
    <xf numFmtId="164" fontId="9" fillId="4" borderId="37" xfId="1" applyNumberFormat="1" applyFont="1" applyFill="1" applyBorder="1" applyAlignment="1">
      <alignment horizontal="center" vertical="center" wrapText="1"/>
    </xf>
    <xf numFmtId="164" fontId="9" fillId="4" borderId="49" xfId="1" applyNumberFormat="1" applyFont="1" applyFill="1" applyBorder="1" applyAlignment="1">
      <alignment horizontal="center" vertical="center" wrapText="1"/>
    </xf>
    <xf numFmtId="0" fontId="9" fillId="4" borderId="65" xfId="1" applyFont="1" applyFill="1" applyBorder="1" applyAlignment="1">
      <alignment horizontal="center" vertical="center" wrapText="1"/>
    </xf>
    <xf numFmtId="164" fontId="9" fillId="0" borderId="66" xfId="1" applyNumberFormat="1" applyFont="1" applyBorder="1" applyAlignment="1">
      <alignment horizontal="center" vertical="center" wrapText="1"/>
    </xf>
    <xf numFmtId="4" fontId="9" fillId="0" borderId="10" xfId="1" applyNumberFormat="1" applyFont="1" applyBorder="1" applyAlignment="1">
      <alignment horizontal="center" vertical="center" wrapText="1"/>
    </xf>
    <xf numFmtId="164" fontId="9" fillId="0" borderId="51" xfId="1" applyNumberFormat="1" applyFont="1" applyBorder="1" applyAlignment="1">
      <alignment horizontal="center" vertical="center" wrapText="1"/>
    </xf>
    <xf numFmtId="164" fontId="9" fillId="0" borderId="13" xfId="1" applyNumberFormat="1" applyFont="1" applyBorder="1" applyAlignment="1">
      <alignment horizontal="center" vertical="center" wrapText="1"/>
    </xf>
    <xf numFmtId="4" fontId="9" fillId="0" borderId="18" xfId="1" applyNumberFormat="1" applyFont="1" applyBorder="1" applyAlignment="1">
      <alignment horizontal="center" vertical="center" wrapText="1"/>
    </xf>
    <xf numFmtId="164" fontId="9" fillId="0" borderId="34" xfId="1" applyNumberFormat="1" applyFont="1" applyBorder="1" applyAlignment="1">
      <alignment horizontal="center" vertical="center" wrapText="1"/>
    </xf>
    <xf numFmtId="0" fontId="9" fillId="0" borderId="18" xfId="1" quotePrefix="1" applyFont="1" applyBorder="1" applyAlignment="1">
      <alignment horizontal="center" vertical="center" wrapText="1"/>
    </xf>
    <xf numFmtId="0" fontId="9" fillId="0" borderId="20" xfId="1" applyFont="1" applyBorder="1" applyAlignment="1">
      <alignment vertical="center" wrapText="1"/>
    </xf>
    <xf numFmtId="164" fontId="9" fillId="8" borderId="52" xfId="1" applyNumberFormat="1" applyFont="1" applyFill="1" applyBorder="1" applyAlignment="1">
      <alignment horizontal="center" vertical="center" wrapText="1"/>
    </xf>
    <xf numFmtId="164" fontId="9" fillId="8" borderId="26" xfId="1" applyNumberFormat="1" applyFont="1" applyFill="1" applyBorder="1" applyAlignment="1">
      <alignment horizontal="center" vertical="center" wrapText="1"/>
    </xf>
    <xf numFmtId="164" fontId="9" fillId="8" borderId="2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4" fontId="9" fillId="0" borderId="52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164" fontId="9" fillId="0" borderId="21" xfId="1" applyNumberFormat="1" applyFont="1" applyBorder="1" applyAlignment="1">
      <alignment horizontal="center" vertical="center" wrapText="1"/>
    </xf>
    <xf numFmtId="0" fontId="9" fillId="0" borderId="34" xfId="1" quotePrefix="1" applyFont="1" applyBorder="1" applyAlignment="1">
      <alignment vertical="center" wrapText="1"/>
    </xf>
    <xf numFmtId="0" fontId="9" fillId="8" borderId="51" xfId="1" applyFont="1" applyFill="1" applyBorder="1" applyAlignment="1">
      <alignment horizontal="center" vertical="center" wrapText="1"/>
    </xf>
    <xf numFmtId="164" fontId="9" fillId="0" borderId="0" xfId="1" applyNumberFormat="1" applyFont="1"/>
    <xf numFmtId="164" fontId="9" fillId="8" borderId="30" xfId="1" applyNumberFormat="1" applyFont="1" applyFill="1" applyBorder="1" applyAlignment="1">
      <alignment horizontal="center" vertical="center" wrapText="1"/>
    </xf>
    <xf numFmtId="164" fontId="9" fillId="8" borderId="42" xfId="1" applyNumberFormat="1" applyFont="1" applyFill="1" applyBorder="1" applyAlignment="1">
      <alignment horizontal="center" vertical="center" wrapText="1"/>
    </xf>
    <xf numFmtId="164" fontId="9" fillId="8" borderId="29" xfId="1" applyNumberFormat="1" applyFont="1" applyFill="1" applyBorder="1" applyAlignment="1">
      <alignment horizontal="center" vertical="center" wrapText="1"/>
    </xf>
    <xf numFmtId="164" fontId="9" fillId="11" borderId="30" xfId="1" applyNumberFormat="1" applyFont="1" applyFill="1" applyBorder="1" applyAlignment="1">
      <alignment horizontal="center" vertical="center" wrapText="1"/>
    </xf>
    <xf numFmtId="164" fontId="9" fillId="11" borderId="28" xfId="1" applyNumberFormat="1" applyFont="1" applyFill="1" applyBorder="1" applyAlignment="1">
      <alignment horizontal="center" vertical="center" wrapText="1"/>
    </xf>
    <xf numFmtId="164" fontId="9" fillId="11" borderId="29" xfId="1" applyNumberFormat="1" applyFont="1" applyFill="1" applyBorder="1" applyAlignment="1">
      <alignment horizontal="center" vertical="center" wrapText="1"/>
    </xf>
    <xf numFmtId="0" fontId="9" fillId="8" borderId="14" xfId="1" applyFont="1" applyFill="1" applyBorder="1" applyAlignment="1">
      <alignment horizontal="center" vertical="center" wrapText="1"/>
    </xf>
    <xf numFmtId="16" fontId="9" fillId="0" borderId="14" xfId="1" quotePrefix="1" applyNumberFormat="1" applyFont="1" applyBorder="1" applyAlignment="1">
      <alignment horizontal="center" vertical="center" wrapText="1"/>
    </xf>
    <xf numFmtId="0" fontId="9" fillId="7" borderId="27" xfId="1" applyFont="1" applyFill="1" applyBorder="1" applyAlignment="1">
      <alignment horizontal="center" vertical="center" wrapText="1"/>
    </xf>
    <xf numFmtId="164" fontId="9" fillId="0" borderId="20" xfId="1" applyNumberFormat="1" applyFont="1" applyBorder="1" applyAlignment="1">
      <alignment horizontal="center" vertical="center" wrapText="1"/>
    </xf>
    <xf numFmtId="164" fontId="9" fillId="0" borderId="19" xfId="1" applyNumberFormat="1" applyFont="1" applyBorder="1" applyAlignment="1">
      <alignment horizontal="center" vertical="center" wrapText="1"/>
    </xf>
    <xf numFmtId="164" fontId="9" fillId="0" borderId="67" xfId="1" applyNumberFormat="1" applyFont="1" applyBorder="1" applyAlignment="1">
      <alignment horizontal="center" vertical="center" wrapText="1"/>
    </xf>
    <xf numFmtId="0" fontId="9" fillId="0" borderId="69" xfId="1" applyFont="1" applyBorder="1" applyAlignment="1">
      <alignment horizontal="center" vertical="center" wrapText="1"/>
    </xf>
    <xf numFmtId="0" fontId="9" fillId="0" borderId="73" xfId="1" applyFont="1" applyBorder="1" applyAlignment="1">
      <alignment horizontal="center" vertical="center" wrapText="1"/>
    </xf>
    <xf numFmtId="0" fontId="9" fillId="7" borderId="74" xfId="1" applyFont="1" applyFill="1" applyBorder="1" applyAlignment="1">
      <alignment horizontal="center" vertical="center" wrapText="1"/>
    </xf>
    <xf numFmtId="164" fontId="9" fillId="0" borderId="75" xfId="1" applyNumberFormat="1" applyFont="1" applyBorder="1" applyAlignment="1">
      <alignment horizontal="center" vertical="center" wrapText="1"/>
    </xf>
    <xf numFmtId="164" fontId="9" fillId="0" borderId="76" xfId="1" applyNumberFormat="1" applyFont="1" applyBorder="1" applyAlignment="1">
      <alignment horizontal="center" vertical="center" wrapText="1"/>
    </xf>
    <xf numFmtId="164" fontId="9" fillId="0" borderId="77" xfId="1" applyNumberFormat="1" applyFont="1" applyBorder="1" applyAlignment="1">
      <alignment horizontal="center" vertical="center" wrapText="1"/>
    </xf>
    <xf numFmtId="164" fontId="9" fillId="0" borderId="78" xfId="1" applyNumberFormat="1" applyFont="1" applyBorder="1" applyAlignment="1">
      <alignment horizontal="center" vertical="center" wrapText="1"/>
    </xf>
    <xf numFmtId="164" fontId="9" fillId="0" borderId="79" xfId="1" applyNumberFormat="1" applyFont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164" fontId="9" fillId="5" borderId="49" xfId="1" applyNumberFormat="1" applyFont="1" applyFill="1" applyBorder="1" applyAlignment="1">
      <alignment horizontal="center" vertical="center" wrapText="1"/>
    </xf>
    <xf numFmtId="0" fontId="9" fillId="0" borderId="8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7" borderId="81" xfId="1" applyFont="1" applyFill="1" applyBorder="1" applyAlignment="1">
      <alignment horizontal="center" vertical="center" wrapText="1"/>
    </xf>
    <xf numFmtId="164" fontId="9" fillId="7" borderId="28" xfId="1" applyNumberFormat="1" applyFont="1" applyFill="1" applyBorder="1" applyAlignment="1">
      <alignment horizontal="center" vertical="center" wrapText="1"/>
    </xf>
    <xf numFmtId="164" fontId="9" fillId="7" borderId="29" xfId="1" applyNumberFormat="1" applyFont="1" applyFill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164" fontId="9" fillId="5" borderId="44" xfId="1" applyNumberFormat="1" applyFont="1" applyFill="1" applyBorder="1" applyAlignment="1">
      <alignment horizontal="center" vertical="center" wrapText="1"/>
    </xf>
    <xf numFmtId="164" fontId="9" fillId="5" borderId="58" xfId="1" applyNumberFormat="1" applyFont="1" applyFill="1" applyBorder="1" applyAlignment="1">
      <alignment horizontal="center" vertical="center" wrapText="1"/>
    </xf>
    <xf numFmtId="164" fontId="9" fillId="5" borderId="47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0" fontId="9" fillId="0" borderId="0" xfId="1" applyFont="1" applyBorder="1"/>
    <xf numFmtId="0" fontId="9" fillId="5" borderId="19" xfId="1" applyFont="1" applyFill="1" applyBorder="1" applyAlignment="1">
      <alignment horizontal="center" vertical="center" wrapText="1"/>
    </xf>
    <xf numFmtId="0" fontId="9" fillId="5" borderId="29" xfId="1" applyFont="1" applyFill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164" fontId="9" fillId="8" borderId="59" xfId="1" applyNumberFormat="1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164" fontId="9" fillId="8" borderId="60" xfId="1" applyNumberFormat="1" applyFont="1" applyFill="1" applyBorder="1" applyAlignment="1">
      <alignment horizontal="center" vertical="center" wrapText="1"/>
    </xf>
    <xf numFmtId="0" fontId="9" fillId="0" borderId="28" xfId="1" applyFont="1" applyBorder="1" applyAlignment="1">
      <alignment vertical="center" wrapText="1"/>
    </xf>
    <xf numFmtId="0" fontId="9" fillId="0" borderId="52" xfId="1" applyFont="1" applyBorder="1" applyAlignment="1">
      <alignment vertical="center" wrapText="1"/>
    </xf>
    <xf numFmtId="0" fontId="9" fillId="0" borderId="21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164" fontId="9" fillId="8" borderId="40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164" fontId="9" fillId="8" borderId="4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164" fontId="9" fillId="8" borderId="33" xfId="1" applyNumberFormat="1" applyFont="1" applyFill="1" applyBorder="1" applyAlignment="1">
      <alignment horizontal="center" vertical="center" wrapText="1"/>
    </xf>
    <xf numFmtId="164" fontId="9" fillId="8" borderId="50" xfId="1" applyNumberFormat="1" applyFont="1" applyFill="1" applyBorder="1" applyAlignment="1">
      <alignment horizontal="center" vertical="center" wrapText="1"/>
    </xf>
    <xf numFmtId="164" fontId="9" fillId="0" borderId="52" xfId="1" applyNumberFormat="1" applyFont="1" applyBorder="1" applyAlignment="1">
      <alignment horizontal="center" vertical="center" wrapText="1"/>
    </xf>
    <xf numFmtId="164" fontId="9" fillId="0" borderId="50" xfId="1" applyNumberFormat="1" applyFont="1" applyBorder="1" applyAlignment="1">
      <alignment horizontal="center" vertical="center" wrapText="1"/>
    </xf>
    <xf numFmtId="0" fontId="5" fillId="0" borderId="0" xfId="1" applyFont="1"/>
    <xf numFmtId="0" fontId="9" fillId="0" borderId="43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164" fontId="9" fillId="6" borderId="30" xfId="1" applyNumberFormat="1" applyFont="1" applyFill="1" applyBorder="1" applyAlignment="1">
      <alignment horizontal="center" vertical="center" wrapText="1"/>
    </xf>
    <xf numFmtId="164" fontId="9" fillId="6" borderId="28" xfId="1" applyNumberFormat="1" applyFont="1" applyFill="1" applyBorder="1" applyAlignment="1">
      <alignment horizontal="center" vertical="center" wrapText="1"/>
    </xf>
    <xf numFmtId="164" fontId="9" fillId="6" borderId="29" xfId="1" applyNumberFormat="1" applyFont="1" applyFill="1" applyBorder="1" applyAlignment="1">
      <alignment horizontal="center" vertical="center" wrapText="1"/>
    </xf>
    <xf numFmtId="164" fontId="9" fillId="6" borderId="42" xfId="1" applyNumberFormat="1" applyFont="1" applyFill="1" applyBorder="1" applyAlignment="1">
      <alignment horizontal="center" vertical="center" wrapText="1"/>
    </xf>
    <xf numFmtId="164" fontId="9" fillId="6" borderId="34" xfId="1" applyNumberFormat="1" applyFont="1" applyFill="1" applyBorder="1" applyAlignment="1">
      <alignment horizontal="center" vertical="center" wrapText="1"/>
    </xf>
    <xf numFmtId="0" fontId="9" fillId="4" borderId="37" xfId="1" applyFont="1" applyFill="1" applyBorder="1" applyAlignment="1">
      <alignment horizontal="center" vertical="center" wrapText="1"/>
    </xf>
    <xf numFmtId="0" fontId="9" fillId="5" borderId="49" xfId="1" applyFont="1" applyFill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7" borderId="29" xfId="1" applyFont="1" applyFill="1" applyBorder="1" applyAlignment="1">
      <alignment horizontal="center" vertical="center" wrapText="1"/>
    </xf>
    <xf numFmtId="0" fontId="9" fillId="7" borderId="21" xfId="1" applyFont="1" applyFill="1" applyBorder="1" applyAlignment="1">
      <alignment horizontal="center" vertical="center" wrapText="1"/>
    </xf>
    <xf numFmtId="0" fontId="9" fillId="7" borderId="19" xfId="1" applyFont="1" applyFill="1" applyBorder="1" applyAlignment="1">
      <alignment horizontal="center" vertical="center" wrapText="1"/>
    </xf>
    <xf numFmtId="164" fontId="9" fillId="8" borderId="46" xfId="1" applyNumberFormat="1" applyFont="1" applyFill="1" applyBorder="1" applyAlignment="1">
      <alignment horizontal="center" vertical="center" wrapText="1"/>
    </xf>
    <xf numFmtId="164" fontId="9" fillId="8" borderId="63" xfId="1" applyNumberFormat="1" applyFont="1" applyFill="1" applyBorder="1" applyAlignment="1">
      <alignment horizontal="center" vertical="center" wrapText="1"/>
    </xf>
    <xf numFmtId="164" fontId="9" fillId="8" borderId="24" xfId="1" applyNumberFormat="1" applyFont="1" applyFill="1" applyBorder="1" applyAlignment="1">
      <alignment horizontal="center" vertical="center" wrapText="1"/>
    </xf>
    <xf numFmtId="164" fontId="9" fillId="7" borderId="20" xfId="1" applyNumberFormat="1" applyFont="1" applyFill="1" applyBorder="1" applyAlignment="1">
      <alignment horizontal="center" vertical="center" wrapText="1"/>
    </xf>
    <xf numFmtId="164" fontId="9" fillId="7" borderId="19" xfId="1" applyNumberFormat="1" applyFont="1" applyFill="1" applyBorder="1" applyAlignment="1">
      <alignment horizontal="center" vertical="center" wrapText="1"/>
    </xf>
    <xf numFmtId="0" fontId="9" fillId="0" borderId="34" xfId="1" applyFont="1" applyBorder="1" applyAlignment="1">
      <alignment vertical="center" wrapText="1"/>
    </xf>
    <xf numFmtId="164" fontId="9" fillId="6" borderId="10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9" fillId="8" borderId="87" xfId="1" applyFont="1" applyFill="1" applyBorder="1" applyAlignment="1">
      <alignment horizontal="center" vertical="center" wrapText="1"/>
    </xf>
    <xf numFmtId="0" fontId="9" fillId="8" borderId="11" xfId="1" applyFont="1" applyFill="1" applyBorder="1" applyAlignment="1">
      <alignment horizontal="center" vertical="center" wrapText="1"/>
    </xf>
    <xf numFmtId="0" fontId="9" fillId="8" borderId="18" xfId="1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164" fontId="9" fillId="8" borderId="17" xfId="1" applyNumberFormat="1" applyFont="1" applyFill="1" applyBorder="1" applyAlignment="1">
      <alignment horizontal="center" vertical="center" wrapText="1"/>
    </xf>
    <xf numFmtId="0" fontId="9" fillId="8" borderId="23" xfId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164" fontId="10" fillId="13" borderId="37" xfId="1" applyNumberFormat="1" applyFont="1" applyFill="1" applyBorder="1" applyAlignment="1">
      <alignment horizontal="center" vertical="center" wrapText="1"/>
    </xf>
    <xf numFmtId="164" fontId="10" fillId="13" borderId="48" xfId="1" applyNumberFormat="1" applyFont="1" applyFill="1" applyBorder="1" applyAlignment="1">
      <alignment horizontal="center" vertical="center" wrapText="1"/>
    </xf>
    <xf numFmtId="164" fontId="10" fillId="13" borderId="61" xfId="1" applyNumberFormat="1" applyFont="1" applyFill="1" applyBorder="1" applyAlignment="1">
      <alignment horizontal="center" vertical="center" wrapText="1"/>
    </xf>
    <xf numFmtId="164" fontId="10" fillId="13" borderId="49" xfId="1" applyNumberFormat="1" applyFont="1" applyFill="1" applyBorder="1" applyAlignment="1">
      <alignment horizontal="center" vertical="center" wrapText="1"/>
    </xf>
    <xf numFmtId="164" fontId="10" fillId="13" borderId="38" xfId="1" applyNumberFormat="1" applyFont="1" applyFill="1" applyBorder="1" applyAlignment="1">
      <alignment horizontal="center" vertical="center" wrapText="1"/>
    </xf>
    <xf numFmtId="164" fontId="1" fillId="0" borderId="0" xfId="1" applyNumberFormat="1"/>
    <xf numFmtId="164" fontId="10" fillId="0" borderId="91" xfId="1" applyNumberFormat="1" applyFont="1" applyBorder="1" applyAlignment="1">
      <alignment horizontal="center" vertical="center" wrapText="1"/>
    </xf>
    <xf numFmtId="164" fontId="10" fillId="0" borderId="51" xfId="1" applyNumberFormat="1" applyFont="1" applyBorder="1" applyAlignment="1">
      <alignment horizontal="center" vertical="center"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0" borderId="92" xfId="1" applyNumberFormat="1" applyFont="1" applyBorder="1" applyAlignment="1">
      <alignment horizontal="center" vertical="center" wrapText="1"/>
    </xf>
    <xf numFmtId="164" fontId="10" fillId="0" borderId="65" xfId="1" applyNumberFormat="1" applyFont="1" applyBorder="1" applyAlignment="1">
      <alignment horizontal="center" vertical="center" wrapText="1"/>
    </xf>
    <xf numFmtId="164" fontId="10" fillId="0" borderId="18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164" fontId="10" fillId="0" borderId="23" xfId="1" applyNumberFormat="1" applyFont="1" applyBorder="1" applyAlignment="1">
      <alignment horizontal="center" vertical="center" wrapText="1"/>
    </xf>
    <xf numFmtId="164" fontId="10" fillId="0" borderId="15" xfId="1" applyNumberFormat="1" applyFont="1" applyBorder="1" applyAlignment="1">
      <alignment horizontal="center" vertical="center" wrapText="1"/>
    </xf>
    <xf numFmtId="164" fontId="10" fillId="0" borderId="22" xfId="1" applyNumberFormat="1" applyFont="1" applyBorder="1" applyAlignment="1">
      <alignment horizontal="center" vertical="center" wrapText="1"/>
    </xf>
    <xf numFmtId="164" fontId="10" fillId="0" borderId="41" xfId="1" applyNumberFormat="1" applyFont="1" applyBorder="1" applyAlignment="1">
      <alignment horizontal="center" vertical="center" wrapText="1"/>
    </xf>
    <xf numFmtId="164" fontId="10" fillId="0" borderId="16" xfId="1" applyNumberFormat="1" applyFont="1" applyBorder="1" applyAlignment="1">
      <alignment horizontal="center" vertical="center" wrapText="1"/>
    </xf>
    <xf numFmtId="164" fontId="10" fillId="0" borderId="93" xfId="1" applyNumberFormat="1" applyFont="1" applyBorder="1" applyAlignment="1">
      <alignment horizontal="center" vertical="center" wrapText="1"/>
    </xf>
    <xf numFmtId="164" fontId="10" fillId="0" borderId="94" xfId="1" applyNumberFormat="1" applyFont="1" applyBorder="1" applyAlignment="1">
      <alignment horizontal="center" vertical="center" wrapText="1"/>
    </xf>
    <xf numFmtId="164" fontId="10" fillId="0" borderId="60" xfId="1" applyNumberFormat="1" applyFont="1" applyBorder="1" applyAlignment="1">
      <alignment horizontal="center" vertical="center" wrapText="1"/>
    </xf>
    <xf numFmtId="164" fontId="10" fillId="0" borderId="42" xfId="1" applyNumberFormat="1" applyFont="1" applyBorder="1" applyAlignment="1">
      <alignment horizontal="center" vertical="center" wrapText="1"/>
    </xf>
    <xf numFmtId="164" fontId="10" fillId="0" borderId="29" xfId="1" applyNumberFormat="1" applyFont="1" applyBorder="1" applyAlignment="1">
      <alignment horizontal="center" vertical="center" wrapText="1"/>
    </xf>
    <xf numFmtId="164" fontId="10" fillId="0" borderId="63" xfId="1" applyNumberFormat="1" applyFont="1" applyBorder="1" applyAlignment="1">
      <alignment horizontal="center" vertical="center" wrapText="1"/>
    </xf>
    <xf numFmtId="164" fontId="10" fillId="0" borderId="46" xfId="1" applyNumberFormat="1" applyFont="1" applyBorder="1" applyAlignment="1">
      <alignment horizontal="center" vertical="center" wrapText="1"/>
    </xf>
    <xf numFmtId="164" fontId="10" fillId="0" borderId="24" xfId="1" applyNumberFormat="1" applyFont="1" applyBorder="1" applyAlignment="1">
      <alignment horizontal="center" vertical="center" wrapText="1"/>
    </xf>
    <xf numFmtId="164" fontId="10" fillId="0" borderId="25" xfId="1" applyNumberFormat="1" applyFont="1" applyBorder="1" applyAlignment="1">
      <alignment horizontal="center" vertical="center" wrapText="1"/>
    </xf>
    <xf numFmtId="164" fontId="10" fillId="0" borderId="37" xfId="1" applyNumberFormat="1" applyFont="1" applyBorder="1" applyAlignment="1">
      <alignment horizontal="center" vertical="center" wrapText="1"/>
    </xf>
    <xf numFmtId="164" fontId="10" fillId="0" borderId="48" xfId="1" applyNumberFormat="1" applyFont="1" applyBorder="1" applyAlignment="1">
      <alignment horizontal="center" vertical="center" wrapText="1"/>
    </xf>
    <xf numFmtId="164" fontId="10" fillId="0" borderId="49" xfId="1" applyNumberFormat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left"/>
    </xf>
    <xf numFmtId="164" fontId="9" fillId="0" borderId="0" xfId="1" applyNumberFormat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0" fontId="13" fillId="0" borderId="0" xfId="1" applyFont="1" applyAlignment="1">
      <alignment horizontal="left"/>
    </xf>
    <xf numFmtId="164" fontId="10" fillId="0" borderId="0" xfId="1" applyNumberFormat="1" applyFont="1"/>
    <xf numFmtId="164" fontId="13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applyFont="1"/>
    <xf numFmtId="164" fontId="15" fillId="0" borderId="0" xfId="1" applyNumberFormat="1" applyFont="1"/>
    <xf numFmtId="0" fontId="16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/>
    <xf numFmtId="164" fontId="8" fillId="0" borderId="0" xfId="1" applyNumberFormat="1" applyFont="1"/>
    <xf numFmtId="164" fontId="6" fillId="0" borderId="0" xfId="1" applyNumberFormat="1" applyFont="1"/>
    <xf numFmtId="164" fontId="9" fillId="0" borderId="45" xfId="1" applyNumberFormat="1" applyFont="1" applyFill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 wrapText="1"/>
    </xf>
    <xf numFmtId="164" fontId="9" fillId="0" borderId="1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/>
    </xf>
    <xf numFmtId="0" fontId="9" fillId="0" borderId="8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/>
    </xf>
    <xf numFmtId="0" fontId="2" fillId="0" borderId="12" xfId="1" applyFont="1" applyBorder="1" applyAlignment="1"/>
    <xf numFmtId="164" fontId="9" fillId="0" borderId="9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9" fillId="0" borderId="11" xfId="1" applyNumberFormat="1" applyFont="1" applyBorder="1" applyAlignment="1">
      <alignment horizontal="center" vertical="center" wrapText="1"/>
    </xf>
    <xf numFmtId="164" fontId="9" fillId="0" borderId="13" xfId="1" applyNumberFormat="1" applyFont="1" applyBorder="1" applyAlignment="1">
      <alignment horizontal="center" vertical="center" textRotation="90"/>
    </xf>
    <xf numFmtId="164" fontId="6" fillId="0" borderId="17" xfId="1" applyNumberFormat="1" applyFont="1" applyBorder="1" applyAlignment="1"/>
    <xf numFmtId="164" fontId="9" fillId="0" borderId="14" xfId="1" applyNumberFormat="1" applyFont="1" applyBorder="1" applyAlignment="1">
      <alignment horizontal="center" vertical="center" wrapText="1"/>
    </xf>
    <xf numFmtId="164" fontId="6" fillId="0" borderId="15" xfId="1" applyNumberFormat="1" applyFont="1" applyBorder="1" applyAlignment="1"/>
    <xf numFmtId="164" fontId="6" fillId="0" borderId="16" xfId="1" applyNumberFormat="1" applyFont="1" applyBorder="1" applyAlignment="1"/>
    <xf numFmtId="164" fontId="9" fillId="0" borderId="19" xfId="1" applyNumberFormat="1" applyFont="1" applyBorder="1" applyAlignment="1">
      <alignment horizontal="center" vertical="center" textRotation="90" wrapText="1"/>
    </xf>
    <xf numFmtId="164" fontId="6" fillId="0" borderId="21" xfId="1" applyNumberFormat="1" applyFont="1" applyBorder="1" applyAlignment="1"/>
    <xf numFmtId="0" fontId="9" fillId="2" borderId="22" xfId="1" applyFont="1" applyFill="1" applyBorder="1" applyAlignment="1">
      <alignment horizontal="left" vertical="center"/>
    </xf>
    <xf numFmtId="0" fontId="9" fillId="2" borderId="18" xfId="1" applyFont="1" applyFill="1" applyBorder="1" applyAlignment="1">
      <alignment horizontal="left" vertical="center"/>
    </xf>
    <xf numFmtId="0" fontId="1" fillId="0" borderId="18" xfId="1" applyBorder="1" applyAlignment="1">
      <alignment horizontal="left"/>
    </xf>
    <xf numFmtId="0" fontId="1" fillId="0" borderId="23" xfId="1" applyBorder="1" applyAlignment="1">
      <alignment horizontal="left"/>
    </xf>
    <xf numFmtId="0" fontId="9" fillId="3" borderId="22" xfId="1" applyFont="1" applyFill="1" applyBorder="1" applyAlignment="1">
      <alignment horizontal="left" vertical="center"/>
    </xf>
    <xf numFmtId="0" fontId="9" fillId="3" borderId="18" xfId="1" applyFont="1" applyFill="1" applyBorder="1" applyAlignment="1">
      <alignment horizontal="left" vertical="center"/>
    </xf>
    <xf numFmtId="0" fontId="9" fillId="4" borderId="18" xfId="1" applyFont="1" applyFill="1" applyBorder="1" applyAlignment="1">
      <alignment horizontal="left" vertical="center"/>
    </xf>
    <xf numFmtId="0" fontId="1" fillId="0" borderId="18" xfId="1" applyBorder="1" applyAlignment="1"/>
    <xf numFmtId="0" fontId="1" fillId="0" borderId="23" xfId="1" applyBorder="1" applyAlignment="1"/>
    <xf numFmtId="0" fontId="9" fillId="5" borderId="24" xfId="1" applyFont="1" applyFill="1" applyBorder="1" applyAlignment="1">
      <alignment horizontal="left" vertical="center"/>
    </xf>
    <xf numFmtId="0" fontId="1" fillId="0" borderId="24" xfId="1" applyBorder="1" applyAlignment="1"/>
    <xf numFmtId="0" fontId="1" fillId="0" borderId="25" xfId="1" applyBorder="1" applyAlignment="1"/>
    <xf numFmtId="0" fontId="9" fillId="4" borderId="17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left" vertical="center" wrapText="1"/>
    </xf>
    <xf numFmtId="49" fontId="9" fillId="0" borderId="27" xfId="1" applyNumberFormat="1" applyFont="1" applyBorder="1" applyAlignment="1">
      <alignment horizontal="center" vertical="center" wrapText="1"/>
    </xf>
    <xf numFmtId="49" fontId="9" fillId="0" borderId="34" xfId="1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18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6" borderId="35" xfId="1" applyFont="1" applyFill="1" applyBorder="1" applyAlignment="1">
      <alignment horizontal="right" vertical="center" wrapText="1"/>
    </xf>
    <xf numFmtId="0" fontId="9" fillId="6" borderId="36" xfId="1" applyFont="1" applyFill="1" applyBorder="1" applyAlignment="1">
      <alignment horizontal="right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9" fillId="6" borderId="39" xfId="1" applyFont="1" applyFill="1" applyBorder="1" applyAlignment="1">
      <alignment horizontal="right" vertical="center" wrapText="1"/>
    </xf>
    <xf numFmtId="0" fontId="9" fillId="0" borderId="20" xfId="1" applyFont="1" applyBorder="1" applyAlignment="1">
      <alignment horizontal="left" vertical="center" wrapText="1"/>
    </xf>
    <xf numFmtId="49" fontId="9" fillId="0" borderId="31" xfId="1" applyNumberFormat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left" vertical="center" wrapText="1"/>
    </xf>
    <xf numFmtId="49" fontId="9" fillId="0" borderId="47" xfId="1" applyNumberFormat="1" applyFont="1" applyBorder="1" applyAlignment="1">
      <alignment horizontal="center" vertical="center" wrapText="1"/>
    </xf>
    <xf numFmtId="49" fontId="9" fillId="0" borderId="50" xfId="1" applyNumberFormat="1" applyFont="1" applyBorder="1" applyAlignment="1">
      <alignment horizontal="center" vertical="center" wrapText="1"/>
    </xf>
    <xf numFmtId="0" fontId="9" fillId="6" borderId="0" xfId="1" applyFont="1" applyFill="1" applyBorder="1" applyAlignment="1">
      <alignment horizontal="right" vertical="center" wrapText="1"/>
    </xf>
    <xf numFmtId="0" fontId="9" fillId="6" borderId="5" xfId="1" applyFont="1" applyFill="1" applyBorder="1" applyAlignment="1">
      <alignment horizontal="right" vertical="center" wrapText="1"/>
    </xf>
    <xf numFmtId="0" fontId="9" fillId="8" borderId="20" xfId="1" applyFont="1" applyFill="1" applyBorder="1" applyAlignment="1">
      <alignment horizontal="left" vertical="center" wrapText="1"/>
    </xf>
    <xf numFmtId="0" fontId="9" fillId="8" borderId="26" xfId="1" applyFont="1" applyFill="1" applyBorder="1" applyAlignment="1">
      <alignment horizontal="left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right" vertical="center" wrapText="1"/>
    </xf>
    <xf numFmtId="0" fontId="9" fillId="5" borderId="2" xfId="1" applyFont="1" applyFill="1" applyBorder="1" applyAlignment="1">
      <alignment horizontal="right" vertical="center" wrapText="1"/>
    </xf>
    <xf numFmtId="0" fontId="9" fillId="5" borderId="3" xfId="1" applyFont="1" applyFill="1" applyBorder="1" applyAlignment="1">
      <alignment horizontal="right" vertical="center" wrapText="1"/>
    </xf>
    <xf numFmtId="0" fontId="9" fillId="5" borderId="35" xfId="1" applyFont="1" applyFill="1" applyBorder="1" applyAlignment="1">
      <alignment horizontal="left" vertical="center"/>
    </xf>
    <xf numFmtId="0" fontId="9" fillId="5" borderId="36" xfId="1" applyFont="1" applyFill="1" applyBorder="1" applyAlignment="1">
      <alignment horizontal="left" vertical="center"/>
    </xf>
    <xf numFmtId="0" fontId="1" fillId="0" borderId="36" xfId="1" applyBorder="1" applyAlignment="1"/>
    <xf numFmtId="0" fontId="1" fillId="0" borderId="39" xfId="1" applyBorder="1" applyAlignment="1"/>
    <xf numFmtId="49" fontId="9" fillId="0" borderId="18" xfId="1" applyNumberFormat="1" applyFont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left" vertical="center" wrapText="1"/>
    </xf>
    <xf numFmtId="0" fontId="9" fillId="0" borderId="52" xfId="1" applyFont="1" applyFill="1" applyBorder="1" applyAlignment="1">
      <alignment horizontal="left" vertical="center" wrapText="1"/>
    </xf>
    <xf numFmtId="0" fontId="9" fillId="8" borderId="26" xfId="1" applyFont="1" applyFill="1" applyBorder="1" applyAlignment="1">
      <alignment horizontal="center" vertical="center" wrapText="1"/>
    </xf>
    <xf numFmtId="0" fontId="9" fillId="9" borderId="20" xfId="1" applyFont="1" applyFill="1" applyBorder="1" applyAlignment="1">
      <alignment horizontal="center" vertical="center" wrapText="1"/>
    </xf>
    <xf numFmtId="0" fontId="9" fillId="9" borderId="28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left" vertical="center" wrapText="1"/>
    </xf>
    <xf numFmtId="0" fontId="9" fillId="0" borderId="28" xfId="1" applyFont="1" applyFill="1" applyBorder="1" applyAlignment="1">
      <alignment horizontal="left" vertical="center" wrapText="1"/>
    </xf>
    <xf numFmtId="0" fontId="9" fillId="10" borderId="35" xfId="1" applyFont="1" applyFill="1" applyBorder="1" applyAlignment="1">
      <alignment horizontal="right" vertical="center" wrapText="1"/>
    </xf>
    <xf numFmtId="0" fontId="9" fillId="10" borderId="36" xfId="1" applyFont="1" applyFill="1" applyBorder="1" applyAlignment="1">
      <alignment horizontal="right" vertical="center" wrapText="1"/>
    </xf>
    <xf numFmtId="0" fontId="9" fillId="10" borderId="39" xfId="1" applyFont="1" applyFill="1" applyBorder="1" applyAlignment="1">
      <alignment horizontal="right" vertical="center" wrapText="1"/>
    </xf>
    <xf numFmtId="0" fontId="9" fillId="9" borderId="26" xfId="1" applyFont="1" applyFill="1" applyBorder="1" applyAlignment="1">
      <alignment horizontal="center" vertical="center" wrapText="1"/>
    </xf>
    <xf numFmtId="0" fontId="9" fillId="8" borderId="28" xfId="1" applyFont="1" applyFill="1" applyBorder="1" applyAlignment="1">
      <alignment horizontal="left" vertical="center" wrapText="1"/>
    </xf>
    <xf numFmtId="49" fontId="9" fillId="0" borderId="21" xfId="1" applyNumberFormat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right" vertical="center" wrapText="1"/>
    </xf>
    <xf numFmtId="0" fontId="9" fillId="5" borderId="28" xfId="1" applyFont="1" applyFill="1" applyBorder="1" applyAlignment="1">
      <alignment horizontal="right" vertical="center" wrapText="1"/>
    </xf>
    <xf numFmtId="0" fontId="9" fillId="5" borderId="34" xfId="1" applyFont="1" applyFill="1" applyBorder="1" applyAlignment="1">
      <alignment horizontal="right" vertical="center" wrapText="1"/>
    </xf>
    <xf numFmtId="0" fontId="9" fillId="4" borderId="1" xfId="1" applyFont="1" applyFill="1" applyBorder="1" applyAlignment="1">
      <alignment horizontal="right" vertical="center" wrapText="1"/>
    </xf>
    <xf numFmtId="0" fontId="9" fillId="4" borderId="0" xfId="1" applyFont="1" applyFill="1" applyBorder="1" applyAlignment="1">
      <alignment horizontal="right" vertical="center" wrapText="1"/>
    </xf>
    <xf numFmtId="0" fontId="9" fillId="4" borderId="5" xfId="1" applyFont="1" applyFill="1" applyBorder="1" applyAlignment="1">
      <alignment horizontal="right" vertical="center" wrapText="1"/>
    </xf>
    <xf numFmtId="0" fontId="9" fillId="4" borderId="35" xfId="1" applyFont="1" applyFill="1" applyBorder="1" applyAlignment="1">
      <alignment horizontal="left" vertical="center"/>
    </xf>
    <xf numFmtId="0" fontId="9" fillId="4" borderId="36" xfId="1" applyFont="1" applyFill="1" applyBorder="1" applyAlignment="1">
      <alignment horizontal="left" vertical="center"/>
    </xf>
    <xf numFmtId="49" fontId="9" fillId="0" borderId="20" xfId="1" quotePrefix="1" applyNumberFormat="1" applyFont="1" applyBorder="1" applyAlignment="1">
      <alignment horizontal="center" vertical="center" wrapText="1"/>
    </xf>
    <xf numFmtId="49" fontId="9" fillId="0" borderId="26" xfId="1" quotePrefix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49" fontId="9" fillId="0" borderId="28" xfId="1" quotePrefix="1" applyNumberFormat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6" borderId="37" xfId="1" applyFont="1" applyFill="1" applyBorder="1" applyAlignment="1">
      <alignment horizontal="right" vertical="center" wrapText="1"/>
    </xf>
    <xf numFmtId="0" fontId="9" fillId="6" borderId="48" xfId="1" applyFont="1" applyFill="1" applyBorder="1" applyAlignment="1">
      <alignment horizontal="right" vertical="center" wrapText="1"/>
    </xf>
    <xf numFmtId="0" fontId="9" fillId="6" borderId="49" xfId="1" applyFont="1" applyFill="1" applyBorder="1" applyAlignment="1">
      <alignment horizontal="right" vertical="center" wrapText="1"/>
    </xf>
    <xf numFmtId="0" fontId="9" fillId="0" borderId="68" xfId="1" applyFont="1" applyBorder="1" applyAlignment="1">
      <alignment horizontal="center" vertical="center" wrapText="1"/>
    </xf>
    <xf numFmtId="0" fontId="9" fillId="6" borderId="70" xfId="1" applyFont="1" applyFill="1" applyBorder="1" applyAlignment="1">
      <alignment horizontal="right" vertical="center" wrapText="1"/>
    </xf>
    <xf numFmtId="0" fontId="9" fillId="6" borderId="71" xfId="1" applyFont="1" applyFill="1" applyBorder="1" applyAlignment="1">
      <alignment horizontal="right" vertical="center" wrapText="1"/>
    </xf>
    <xf numFmtId="0" fontId="9" fillId="6" borderId="72" xfId="1" applyFont="1" applyFill="1" applyBorder="1" applyAlignment="1">
      <alignment horizontal="right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5" borderId="54" xfId="1" applyFont="1" applyFill="1" applyBorder="1" applyAlignment="1">
      <alignment horizontal="right" vertical="center" wrapText="1"/>
    </xf>
    <xf numFmtId="0" fontId="9" fillId="5" borderId="6" xfId="1" applyFont="1" applyFill="1" applyBorder="1" applyAlignment="1">
      <alignment horizontal="right" vertical="center" wrapText="1"/>
    </xf>
    <xf numFmtId="0" fontId="9" fillId="5" borderId="7" xfId="1" applyFont="1" applyFill="1" applyBorder="1" applyAlignment="1">
      <alignment horizontal="right" vertical="center" wrapText="1"/>
    </xf>
    <xf numFmtId="0" fontId="9" fillId="4" borderId="35" xfId="1" applyFont="1" applyFill="1" applyBorder="1" applyAlignment="1">
      <alignment horizontal="right" vertical="center" wrapText="1"/>
    </xf>
    <xf numFmtId="0" fontId="9" fillId="4" borderId="36" xfId="1" applyFont="1" applyFill="1" applyBorder="1" applyAlignment="1">
      <alignment horizontal="right" vertical="center" wrapText="1"/>
    </xf>
    <xf numFmtId="0" fontId="9" fillId="4" borderId="39" xfId="1" applyFont="1" applyFill="1" applyBorder="1" applyAlignment="1">
      <alignment horizontal="right" vertical="center" wrapText="1"/>
    </xf>
    <xf numFmtId="0" fontId="9" fillId="4" borderId="39" xfId="1" applyFont="1" applyFill="1" applyBorder="1" applyAlignment="1">
      <alignment horizontal="left" vertical="center"/>
    </xf>
    <xf numFmtId="0" fontId="9" fillId="5" borderId="39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right" vertical="center" wrapText="1"/>
    </xf>
    <xf numFmtId="0" fontId="9" fillId="5" borderId="5" xfId="1" applyFont="1" applyFill="1" applyBorder="1" applyAlignment="1">
      <alignment horizontal="right" vertical="center" wrapText="1"/>
    </xf>
    <xf numFmtId="0" fontId="9" fillId="0" borderId="58" xfId="1" applyFont="1" applyBorder="1" applyAlignment="1">
      <alignment horizontal="left" vertical="center" wrapText="1"/>
    </xf>
    <xf numFmtId="0" fontId="1" fillId="0" borderId="28" xfId="1" applyBorder="1" applyAlignment="1">
      <alignment horizontal="left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" fillId="0" borderId="34" xfId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1" xfId="1" quotePrefix="1" applyFont="1" applyBorder="1" applyAlignment="1">
      <alignment horizontal="center" vertical="center" wrapText="1"/>
    </xf>
    <xf numFmtId="0" fontId="9" fillId="12" borderId="22" xfId="1" applyFont="1" applyFill="1" applyBorder="1" applyAlignment="1">
      <alignment horizontal="center" vertical="center" wrapText="1"/>
    </xf>
    <xf numFmtId="0" fontId="9" fillId="9" borderId="18" xfId="1" applyFont="1" applyFill="1" applyBorder="1" applyAlignment="1">
      <alignment horizontal="center" vertical="center" wrapText="1"/>
    </xf>
    <xf numFmtId="0" fontId="9" fillId="0" borderId="14" xfId="1" quotePrefix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5" borderId="31" xfId="1" applyFont="1" applyFill="1" applyBorder="1" applyAlignment="1">
      <alignment horizontal="center" vertical="center" wrapText="1"/>
    </xf>
    <xf numFmtId="0" fontId="9" fillId="5" borderId="34" xfId="1" applyFont="1" applyFill="1" applyBorder="1" applyAlignment="1">
      <alignment horizontal="center" vertical="center" wrapText="1"/>
    </xf>
    <xf numFmtId="0" fontId="9" fillId="0" borderId="82" xfId="1" applyFont="1" applyBorder="1" applyAlignment="1">
      <alignment horizontal="center" vertical="center" wrapText="1"/>
    </xf>
    <xf numFmtId="0" fontId="9" fillId="0" borderId="84" xfId="1" applyFont="1" applyBorder="1" applyAlignment="1">
      <alignment horizontal="center" vertical="center" wrapText="1"/>
    </xf>
    <xf numFmtId="0" fontId="9" fillId="0" borderId="77" xfId="1" applyFont="1" applyFill="1" applyBorder="1" applyAlignment="1">
      <alignment horizontal="left" vertical="center" wrapText="1"/>
    </xf>
    <xf numFmtId="0" fontId="9" fillId="0" borderId="85" xfId="1" applyFont="1" applyFill="1" applyBorder="1" applyAlignment="1">
      <alignment horizontal="left" vertical="center" wrapText="1"/>
    </xf>
    <xf numFmtId="0" fontId="9" fillId="0" borderId="83" xfId="1" quotePrefix="1" applyFont="1" applyBorder="1" applyAlignment="1">
      <alignment horizontal="center" vertical="center" wrapText="1"/>
    </xf>
    <xf numFmtId="0" fontId="9" fillId="0" borderId="86" xfId="1" quotePrefix="1" applyFont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right" vertical="center" wrapText="1"/>
    </xf>
    <xf numFmtId="0" fontId="9" fillId="5" borderId="36" xfId="1" applyFont="1" applyFill="1" applyBorder="1" applyAlignment="1">
      <alignment horizontal="right" vertical="center" wrapText="1"/>
    </xf>
    <xf numFmtId="0" fontId="9" fillId="5" borderId="39" xfId="1" applyFont="1" applyFill="1" applyBorder="1" applyAlignment="1">
      <alignment horizontal="right" vertical="center" wrapText="1"/>
    </xf>
    <xf numFmtId="0" fontId="9" fillId="0" borderId="24" xfId="1" applyFont="1" applyBorder="1" applyAlignment="1">
      <alignment horizontal="center" vertical="center" wrapText="1"/>
    </xf>
    <xf numFmtId="0" fontId="10" fillId="13" borderId="35" xfId="1" applyFont="1" applyFill="1" applyBorder="1" applyAlignment="1">
      <alignment horizontal="right" vertical="center" wrapText="1"/>
    </xf>
    <xf numFmtId="0" fontId="10" fillId="13" borderId="36" xfId="1" applyFont="1" applyFill="1" applyBorder="1" applyAlignment="1">
      <alignment horizontal="right" vertical="center" wrapText="1"/>
    </xf>
    <xf numFmtId="0" fontId="10" fillId="13" borderId="39" xfId="1" applyFont="1" applyFill="1" applyBorder="1" applyAlignment="1">
      <alignment horizontal="right" vertical="center" wrapText="1"/>
    </xf>
    <xf numFmtId="0" fontId="9" fillId="0" borderId="91" xfId="1" applyFont="1" applyBorder="1" applyAlignment="1">
      <alignment horizontal="left" vertical="center" wrapText="1"/>
    </xf>
    <xf numFmtId="0" fontId="9" fillId="0" borderId="92" xfId="1" applyFont="1" applyBorder="1" applyAlignment="1">
      <alignment horizontal="left" vertical="center" wrapText="1"/>
    </xf>
    <xf numFmtId="0" fontId="9" fillId="0" borderId="59" xfId="1" applyFont="1" applyBorder="1" applyAlignment="1">
      <alignment horizontal="left" vertical="center" wrapText="1"/>
    </xf>
    <xf numFmtId="0" fontId="9" fillId="0" borderId="65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12" borderId="17" xfId="1" applyFont="1" applyFill="1" applyBorder="1" applyAlignment="1">
      <alignment horizontal="center" vertical="center" wrapText="1"/>
    </xf>
    <xf numFmtId="0" fontId="9" fillId="12" borderId="88" xfId="1" applyFont="1" applyFill="1" applyBorder="1" applyAlignment="1">
      <alignment horizontal="center" vertical="center" wrapText="1"/>
    </xf>
    <xf numFmtId="0" fontId="9" fillId="9" borderId="89" xfId="1" applyFont="1" applyFill="1" applyBorder="1" applyAlignment="1">
      <alignment horizontal="center" vertical="center" wrapText="1"/>
    </xf>
    <xf numFmtId="0" fontId="9" fillId="8" borderId="28" xfId="1" applyFont="1" applyFill="1" applyBorder="1" applyAlignment="1">
      <alignment horizontal="center" vertical="center" wrapText="1"/>
    </xf>
    <xf numFmtId="0" fontId="9" fillId="8" borderId="90" xfId="1" applyFont="1" applyFill="1" applyBorder="1" applyAlignment="1">
      <alignment horizontal="center" vertical="center" wrapText="1"/>
    </xf>
    <xf numFmtId="0" fontId="9" fillId="0" borderId="90" xfId="1" applyFont="1" applyBorder="1" applyAlignment="1">
      <alignment horizontal="left" vertical="center" wrapText="1"/>
    </xf>
    <xf numFmtId="0" fontId="9" fillId="8" borderId="45" xfId="1" applyFont="1" applyFill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10" fillId="0" borderId="65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10" fillId="0" borderId="35" xfId="1" applyFont="1" applyBorder="1" applyAlignment="1">
      <alignment horizontal="right" vertical="center" wrapText="1"/>
    </xf>
    <xf numFmtId="0" fontId="10" fillId="0" borderId="36" xfId="1" applyFont="1" applyBorder="1" applyAlignment="1">
      <alignment horizontal="right" vertical="center" wrapText="1"/>
    </xf>
    <xf numFmtId="0" fontId="10" fillId="0" borderId="39" xfId="1" applyFont="1" applyBorder="1" applyAlignment="1">
      <alignment horizontal="right" vertical="center" wrapText="1"/>
    </xf>
    <xf numFmtId="0" fontId="13" fillId="0" borderId="2" xfId="1" applyFont="1" applyBorder="1" applyAlignment="1">
      <alignment horizontal="left"/>
    </xf>
    <xf numFmtId="0" fontId="14" fillId="0" borderId="0" xfId="1" applyFont="1" applyAlignment="1">
      <alignment horizontal="right"/>
    </xf>
    <xf numFmtId="0" fontId="9" fillId="8" borderId="40" xfId="1" applyFont="1" applyFill="1" applyBorder="1" applyAlignment="1">
      <alignment horizontal="center" vertical="center" wrapText="1"/>
    </xf>
    <xf numFmtId="0" fontId="9" fillId="8" borderId="41" xfId="1" applyFont="1" applyFill="1" applyBorder="1" applyAlignment="1">
      <alignment horizontal="center" vertical="center" wrapText="1"/>
    </xf>
    <xf numFmtId="0" fontId="9" fillId="8" borderId="18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165" fontId="9" fillId="0" borderId="40" xfId="1" applyNumberFormat="1" applyFont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9" fillId="0" borderId="27" xfId="1" applyFont="1" applyFill="1" applyBorder="1" applyAlignment="1">
      <alignment horizontal="left" vertical="center" wrapText="1"/>
    </xf>
    <xf numFmtId="0" fontId="9" fillId="0" borderId="34" xfId="1" applyFont="1" applyFill="1" applyBorder="1" applyAlignment="1">
      <alignment horizontal="left" vertical="center" wrapText="1"/>
    </xf>
    <xf numFmtId="0" fontId="9" fillId="8" borderId="10" xfId="1" applyFont="1" applyFill="1" applyBorder="1" applyAlignment="1">
      <alignment horizontal="center" vertical="center" wrapText="1"/>
    </xf>
    <xf numFmtId="0" fontId="9" fillId="8" borderId="66" xfId="1" applyFont="1" applyFill="1" applyBorder="1" applyAlignment="1">
      <alignment horizontal="center" vertical="center" wrapText="1"/>
    </xf>
    <xf numFmtId="0" fontId="9" fillId="8" borderId="53" xfId="1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right" vertical="center" wrapText="1"/>
    </xf>
    <xf numFmtId="0" fontId="9" fillId="10" borderId="3" xfId="1" applyFont="1" applyFill="1" applyBorder="1" applyAlignment="1">
      <alignment horizontal="right" vertical="center" wrapText="1"/>
    </xf>
    <xf numFmtId="0" fontId="9" fillId="10" borderId="6" xfId="1" applyFont="1" applyFill="1" applyBorder="1" applyAlignment="1">
      <alignment horizontal="right" vertical="center" wrapText="1"/>
    </xf>
    <xf numFmtId="0" fontId="9" fillId="10" borderId="7" xfId="1" applyFont="1" applyFill="1" applyBorder="1" applyAlignment="1">
      <alignment horizontal="right" vertical="center" wrapText="1"/>
    </xf>
    <xf numFmtId="0" fontId="9" fillId="8" borderId="24" xfId="1" applyFont="1" applyFill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165" fontId="9" fillId="0" borderId="42" xfId="1" applyNumberFormat="1" applyFont="1" applyBorder="1" applyAlignment="1">
      <alignment horizontal="center" vertical="center" wrapText="1"/>
    </xf>
    <xf numFmtId="165" fontId="9" fillId="0" borderId="9" xfId="1" applyNumberFormat="1" applyFont="1" applyBorder="1" applyAlignment="1">
      <alignment horizontal="center" vertical="center" wrapText="1"/>
    </xf>
    <xf numFmtId="49" fontId="9" fillId="0" borderId="18" xfId="1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6"/>
  <sheetViews>
    <sheetView showZeros="0" tabSelected="1" topLeftCell="A127" zoomScale="90" zoomScaleNormal="90" zoomScaleSheetLayoutView="100" workbookViewId="0">
      <selection activeCell="Z137" sqref="Z137:AC150"/>
    </sheetView>
  </sheetViews>
  <sheetFormatPr defaultColWidth="8.88671875" defaultRowHeight="14.4" x14ac:dyDescent="0.3"/>
  <cols>
    <col min="1" max="1" width="3.44140625" style="291" customWidth="1"/>
    <col min="2" max="2" width="3.109375" style="291" customWidth="1"/>
    <col min="3" max="3" width="3.44140625" style="291" customWidth="1"/>
    <col min="4" max="4" width="17.5546875" style="292" customWidth="1"/>
    <col min="5" max="5" width="4.6640625" style="293" customWidth="1"/>
    <col min="6" max="6" width="10.88671875" style="293" customWidth="1"/>
    <col min="7" max="7" width="7.5546875" style="291" customWidth="1"/>
    <col min="8" max="8" width="7.5546875" style="294" customWidth="1"/>
    <col min="9" max="9" width="7.5546875" style="295" customWidth="1"/>
    <col min="10" max="10" width="7.5546875" style="296" customWidth="1"/>
    <col min="11" max="11" width="9.33203125" style="296" customWidth="1"/>
    <col min="12" max="12" width="7.5546875" style="296" customWidth="1"/>
    <col min="13" max="13" width="7.44140625" style="9" customWidth="1"/>
    <col min="14" max="14" width="7.88671875" style="9" customWidth="1"/>
    <col min="15" max="16" width="7.5546875" style="9" customWidth="1"/>
    <col min="17" max="17" width="9.44140625" style="9" customWidth="1"/>
    <col min="18" max="18" width="7.88671875" style="9" customWidth="1"/>
    <col min="19" max="20" width="7.5546875" style="9" customWidth="1"/>
    <col min="21" max="21" width="9.44140625" style="9" customWidth="1"/>
    <col min="22" max="22" width="7.88671875" style="9" customWidth="1"/>
    <col min="23" max="24" width="7.5546875" style="9" customWidth="1"/>
    <col min="25" max="25" width="4" style="9" customWidth="1"/>
    <col min="26" max="34" width="9.109375" style="9" customWidth="1"/>
    <col min="35" max="16384" width="8.88671875" style="9"/>
  </cols>
  <sheetData>
    <row r="1" spans="1:24" ht="47.4" customHeight="1" x14ac:dyDescent="0.3">
      <c r="A1" s="1"/>
      <c r="B1" s="2"/>
      <c r="C1" s="2"/>
      <c r="D1" s="3"/>
      <c r="E1" s="4"/>
      <c r="F1" s="5"/>
      <c r="G1" s="2"/>
      <c r="H1" s="6"/>
      <c r="I1" s="7"/>
      <c r="J1" s="7"/>
      <c r="K1" s="7"/>
      <c r="L1" s="8"/>
      <c r="M1" s="7"/>
      <c r="N1" s="7"/>
      <c r="O1" s="7"/>
      <c r="P1" s="7"/>
      <c r="Q1" s="7"/>
      <c r="R1" s="7"/>
      <c r="S1" s="7"/>
      <c r="T1" s="7"/>
      <c r="U1" s="303" t="s">
        <v>0</v>
      </c>
      <c r="V1" s="303"/>
      <c r="W1" s="303"/>
      <c r="X1" s="304"/>
    </row>
    <row r="2" spans="1:24" ht="32.25" customHeight="1" x14ac:dyDescent="0.3">
      <c r="A2" s="305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7"/>
    </row>
    <row r="3" spans="1:24" ht="15" thickBot="1" x14ac:dyDescent="0.35">
      <c r="A3" s="10"/>
      <c r="B3" s="11"/>
      <c r="C3" s="11"/>
      <c r="D3" s="12"/>
      <c r="E3" s="13"/>
      <c r="F3" s="13"/>
      <c r="G3" s="11"/>
      <c r="H3" s="14"/>
      <c r="I3" s="15"/>
      <c r="J3" s="16"/>
      <c r="K3" s="17"/>
      <c r="L3" s="17"/>
      <c r="M3" s="13"/>
      <c r="N3" s="17"/>
      <c r="O3" s="308"/>
      <c r="P3" s="308"/>
      <c r="Q3" s="13"/>
      <c r="R3" s="17"/>
      <c r="S3" s="308"/>
      <c r="T3" s="308"/>
      <c r="U3" s="13"/>
      <c r="V3" s="17"/>
      <c r="W3" s="308" t="s">
        <v>2</v>
      </c>
      <c r="X3" s="309"/>
    </row>
    <row r="4" spans="1:24" s="18" customFormat="1" ht="11.25" customHeight="1" x14ac:dyDescent="0.2">
      <c r="A4" s="310" t="s">
        <v>3</v>
      </c>
      <c r="B4" s="310" t="s">
        <v>4</v>
      </c>
      <c r="C4" s="310" t="s">
        <v>5</v>
      </c>
      <c r="D4" s="312" t="s">
        <v>6</v>
      </c>
      <c r="E4" s="310" t="s">
        <v>7</v>
      </c>
      <c r="F4" s="310" t="s">
        <v>8</v>
      </c>
      <c r="G4" s="310" t="s">
        <v>9</v>
      </c>
      <c r="H4" s="310" t="s">
        <v>10</v>
      </c>
      <c r="I4" s="315" t="s">
        <v>11</v>
      </c>
      <c r="J4" s="316"/>
      <c r="K4" s="316"/>
      <c r="L4" s="317"/>
      <c r="M4" s="315" t="s">
        <v>12</v>
      </c>
      <c r="N4" s="316"/>
      <c r="O4" s="316"/>
      <c r="P4" s="317"/>
      <c r="Q4" s="315" t="s">
        <v>13</v>
      </c>
      <c r="R4" s="316"/>
      <c r="S4" s="316"/>
      <c r="T4" s="317"/>
      <c r="U4" s="315" t="s">
        <v>14</v>
      </c>
      <c r="V4" s="316"/>
      <c r="W4" s="316"/>
      <c r="X4" s="317"/>
    </row>
    <row r="5" spans="1:24" s="18" customFormat="1" ht="11.25" customHeight="1" x14ac:dyDescent="0.2">
      <c r="A5" s="311"/>
      <c r="B5" s="311"/>
      <c r="C5" s="311"/>
      <c r="D5" s="313"/>
      <c r="E5" s="314"/>
      <c r="F5" s="314"/>
      <c r="G5" s="345"/>
      <c r="H5" s="314"/>
      <c r="I5" s="318" t="s">
        <v>15</v>
      </c>
      <c r="J5" s="320" t="s">
        <v>16</v>
      </c>
      <c r="K5" s="321"/>
      <c r="L5" s="322"/>
      <c r="M5" s="318" t="s">
        <v>15</v>
      </c>
      <c r="N5" s="320" t="s">
        <v>16</v>
      </c>
      <c r="O5" s="321"/>
      <c r="P5" s="322"/>
      <c r="Q5" s="318" t="s">
        <v>15</v>
      </c>
      <c r="R5" s="320" t="s">
        <v>16</v>
      </c>
      <c r="S5" s="321"/>
      <c r="T5" s="322"/>
      <c r="U5" s="318" t="s">
        <v>15</v>
      </c>
      <c r="V5" s="320" t="s">
        <v>16</v>
      </c>
      <c r="W5" s="321"/>
      <c r="X5" s="322"/>
    </row>
    <row r="6" spans="1:24" s="18" customFormat="1" ht="11.25" customHeight="1" x14ac:dyDescent="0.2">
      <c r="A6" s="311"/>
      <c r="B6" s="311"/>
      <c r="C6" s="311"/>
      <c r="D6" s="313"/>
      <c r="E6" s="314"/>
      <c r="F6" s="314"/>
      <c r="G6" s="345"/>
      <c r="H6" s="314"/>
      <c r="I6" s="319"/>
      <c r="J6" s="19" t="s">
        <v>17</v>
      </c>
      <c r="K6" s="19"/>
      <c r="L6" s="323" t="s">
        <v>18</v>
      </c>
      <c r="M6" s="319"/>
      <c r="N6" s="19" t="s">
        <v>17</v>
      </c>
      <c r="O6" s="19"/>
      <c r="P6" s="323" t="s">
        <v>18</v>
      </c>
      <c r="Q6" s="319"/>
      <c r="R6" s="19" t="s">
        <v>17</v>
      </c>
      <c r="S6" s="19"/>
      <c r="T6" s="323" t="s">
        <v>18</v>
      </c>
      <c r="U6" s="319"/>
      <c r="V6" s="19" t="s">
        <v>17</v>
      </c>
      <c r="W6" s="19"/>
      <c r="X6" s="323" t="s">
        <v>18</v>
      </c>
    </row>
    <row r="7" spans="1:24" s="18" customFormat="1" ht="64.5" customHeight="1" x14ac:dyDescent="0.2">
      <c r="A7" s="311"/>
      <c r="B7" s="311"/>
      <c r="C7" s="311"/>
      <c r="D7" s="313"/>
      <c r="E7" s="314"/>
      <c r="F7" s="314"/>
      <c r="G7" s="345"/>
      <c r="H7" s="314"/>
      <c r="I7" s="319"/>
      <c r="J7" s="20" t="s">
        <v>15</v>
      </c>
      <c r="K7" s="21" t="s">
        <v>19</v>
      </c>
      <c r="L7" s="324"/>
      <c r="M7" s="319"/>
      <c r="N7" s="20" t="s">
        <v>15</v>
      </c>
      <c r="O7" s="21" t="s">
        <v>19</v>
      </c>
      <c r="P7" s="324"/>
      <c r="Q7" s="319"/>
      <c r="R7" s="20" t="s">
        <v>15</v>
      </c>
      <c r="S7" s="21" t="s">
        <v>19</v>
      </c>
      <c r="T7" s="324"/>
      <c r="U7" s="319"/>
      <c r="V7" s="20" t="s">
        <v>15</v>
      </c>
      <c r="W7" s="21" t="s">
        <v>19</v>
      </c>
      <c r="X7" s="324"/>
    </row>
    <row r="8" spans="1:24" s="22" customFormat="1" ht="13.5" customHeight="1" x14ac:dyDescent="0.3">
      <c r="A8" s="325" t="s">
        <v>20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7"/>
      <c r="V8" s="327"/>
      <c r="W8" s="327"/>
      <c r="X8" s="328"/>
    </row>
    <row r="9" spans="1:24" s="22" customFormat="1" ht="13.5" customHeight="1" x14ac:dyDescent="0.3">
      <c r="A9" s="329" t="s">
        <v>21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27"/>
      <c r="V9" s="327"/>
      <c r="W9" s="327"/>
      <c r="X9" s="328"/>
    </row>
    <row r="10" spans="1:24" s="24" customFormat="1" ht="13.5" customHeight="1" x14ac:dyDescent="0.3">
      <c r="A10" s="23">
        <v>1</v>
      </c>
      <c r="B10" s="331" t="s">
        <v>22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2"/>
      <c r="V10" s="332"/>
      <c r="W10" s="332"/>
      <c r="X10" s="333"/>
    </row>
    <row r="11" spans="1:24" s="24" customFormat="1" ht="13.5" customHeight="1" thickBot="1" x14ac:dyDescent="0.35">
      <c r="A11" s="23">
        <v>1</v>
      </c>
      <c r="B11" s="25">
        <v>1</v>
      </c>
      <c r="C11" s="334" t="s">
        <v>23</v>
      </c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5"/>
      <c r="V11" s="335"/>
      <c r="W11" s="335"/>
      <c r="X11" s="336"/>
    </row>
    <row r="12" spans="1:24" s="18" customFormat="1" ht="10.95" customHeight="1" x14ac:dyDescent="0.2">
      <c r="A12" s="337">
        <v>1</v>
      </c>
      <c r="B12" s="338">
        <v>1</v>
      </c>
      <c r="C12" s="339">
        <v>1</v>
      </c>
      <c r="D12" s="341" t="s">
        <v>24</v>
      </c>
      <c r="E12" s="343" t="s">
        <v>25</v>
      </c>
      <c r="F12" s="340" t="s">
        <v>26</v>
      </c>
      <c r="G12" s="340" t="s">
        <v>27</v>
      </c>
      <c r="H12" s="26" t="s">
        <v>28</v>
      </c>
      <c r="I12" s="27">
        <f>SUM(J12,L12)</f>
        <v>561.1</v>
      </c>
      <c r="J12" s="28">
        <f>563.9-3.8+1</f>
        <v>561.1</v>
      </c>
      <c r="K12" s="28">
        <v>477.6</v>
      </c>
      <c r="L12" s="29"/>
      <c r="M12" s="27">
        <f>SUM(N12,P12)</f>
        <v>661.7</v>
      </c>
      <c r="N12" s="30">
        <f>666.7-10+5</f>
        <v>661.7</v>
      </c>
      <c r="O12" s="28">
        <v>551.1</v>
      </c>
      <c r="P12" s="29"/>
      <c r="Q12" s="31">
        <v>668.8</v>
      </c>
      <c r="R12" s="28">
        <v>668.8</v>
      </c>
      <c r="S12" s="28">
        <v>554.1</v>
      </c>
      <c r="T12" s="29"/>
      <c r="U12" s="31">
        <v>668.8</v>
      </c>
      <c r="V12" s="28">
        <v>668.8</v>
      </c>
      <c r="W12" s="28">
        <v>554.1</v>
      </c>
      <c r="X12" s="29"/>
    </row>
    <row r="13" spans="1:24" s="18" customFormat="1" ht="12" customHeight="1" x14ac:dyDescent="0.2">
      <c r="A13" s="337"/>
      <c r="B13" s="338"/>
      <c r="C13" s="339"/>
      <c r="D13" s="341"/>
      <c r="E13" s="343"/>
      <c r="F13" s="346"/>
      <c r="G13" s="346"/>
      <c r="H13" s="32" t="s">
        <v>29</v>
      </c>
      <c r="I13" s="33">
        <v>19.8</v>
      </c>
      <c r="J13" s="34">
        <v>19.8</v>
      </c>
      <c r="K13" s="34"/>
      <c r="L13" s="35"/>
      <c r="M13" s="33">
        <v>10</v>
      </c>
      <c r="N13" s="34">
        <v>10</v>
      </c>
      <c r="O13" s="34"/>
      <c r="P13" s="35"/>
      <c r="Q13" s="33">
        <v>10</v>
      </c>
      <c r="R13" s="34">
        <v>10</v>
      </c>
      <c r="S13" s="34"/>
      <c r="T13" s="35"/>
      <c r="U13" s="33">
        <v>19.8</v>
      </c>
      <c r="V13" s="34">
        <v>19.8</v>
      </c>
      <c r="W13" s="34"/>
      <c r="X13" s="35"/>
    </row>
    <row r="14" spans="1:24" s="18" customFormat="1" ht="12" customHeight="1" thickBot="1" x14ac:dyDescent="0.25">
      <c r="A14" s="337"/>
      <c r="B14" s="338"/>
      <c r="C14" s="339"/>
      <c r="D14" s="341"/>
      <c r="E14" s="343"/>
      <c r="F14" s="347"/>
      <c r="G14" s="347"/>
      <c r="H14" s="36" t="s">
        <v>30</v>
      </c>
      <c r="I14" s="37">
        <f>J14</f>
        <v>8</v>
      </c>
      <c r="J14" s="38">
        <v>8</v>
      </c>
      <c r="K14" s="38">
        <v>7.9</v>
      </c>
      <c r="L14" s="39"/>
      <c r="M14" s="37">
        <v>3</v>
      </c>
      <c r="N14" s="38">
        <v>3</v>
      </c>
      <c r="O14" s="38">
        <v>3</v>
      </c>
      <c r="P14" s="39"/>
      <c r="Q14" s="37"/>
      <c r="R14" s="38"/>
      <c r="S14" s="38"/>
      <c r="T14" s="39"/>
      <c r="U14" s="37"/>
      <c r="V14" s="38"/>
      <c r="W14" s="38"/>
      <c r="X14" s="39"/>
    </row>
    <row r="15" spans="1:24" s="18" customFormat="1" ht="12" customHeight="1" thickBot="1" x14ac:dyDescent="0.25">
      <c r="A15" s="337"/>
      <c r="B15" s="338"/>
      <c r="C15" s="340"/>
      <c r="D15" s="342"/>
      <c r="E15" s="344"/>
      <c r="F15" s="348" t="s">
        <v>31</v>
      </c>
      <c r="G15" s="349"/>
      <c r="H15" s="349"/>
      <c r="I15" s="40">
        <f>J15</f>
        <v>588.9</v>
      </c>
      <c r="J15" s="41">
        <f>SUM(J12:J14)</f>
        <v>588.9</v>
      </c>
      <c r="K15" s="41">
        <f t="shared" ref="K15:L15" si="0">SUM(K12:K14)</f>
        <v>485.5</v>
      </c>
      <c r="L15" s="41">
        <f t="shared" si="0"/>
        <v>0</v>
      </c>
      <c r="M15" s="40">
        <f>M13+M12+M14</f>
        <v>674.7</v>
      </c>
      <c r="N15" s="41">
        <f>SUM(N12:N13,N14)</f>
        <v>674.7</v>
      </c>
      <c r="O15" s="41">
        <f>SUM(O12:O13,O14)</f>
        <v>554.1</v>
      </c>
      <c r="P15" s="42">
        <f>SUM(P12:P13)</f>
        <v>0</v>
      </c>
      <c r="Q15" s="40">
        <f>Q13+Q12</f>
        <v>678.8</v>
      </c>
      <c r="R15" s="41">
        <f>SUM(R12:R13)</f>
        <v>678.8</v>
      </c>
      <c r="S15" s="41">
        <f>SUM(S12:S13)</f>
        <v>554.1</v>
      </c>
      <c r="T15" s="42">
        <f>SUM(T12:T13)</f>
        <v>0</v>
      </c>
      <c r="U15" s="40">
        <f>U13+U12</f>
        <v>688.59999999999991</v>
      </c>
      <c r="V15" s="41">
        <f>SUM(V12:V13)</f>
        <v>688.59999999999991</v>
      </c>
      <c r="W15" s="41">
        <f>SUM(W12:W13)</f>
        <v>554.1</v>
      </c>
      <c r="X15" s="42">
        <f>SUM(X12:X13)</f>
        <v>0</v>
      </c>
    </row>
    <row r="16" spans="1:24" s="18" customFormat="1" ht="17.25" customHeight="1" x14ac:dyDescent="0.2">
      <c r="A16" s="350">
        <v>1</v>
      </c>
      <c r="B16" s="352">
        <v>1</v>
      </c>
      <c r="C16" s="339">
        <v>2</v>
      </c>
      <c r="D16" s="341" t="s">
        <v>32</v>
      </c>
      <c r="E16" s="343" t="s">
        <v>25</v>
      </c>
      <c r="F16" s="340" t="s">
        <v>26</v>
      </c>
      <c r="G16" s="340" t="s">
        <v>33</v>
      </c>
      <c r="H16" s="26" t="s">
        <v>29</v>
      </c>
      <c r="I16" s="43">
        <f>SUM(J16,L16)</f>
        <v>255.3</v>
      </c>
      <c r="J16" s="34">
        <v>255.3</v>
      </c>
      <c r="K16" s="34">
        <v>113</v>
      </c>
      <c r="L16" s="35"/>
      <c r="M16" s="34">
        <v>281.10000000000002</v>
      </c>
      <c r="N16" s="34">
        <v>281.10000000000002</v>
      </c>
      <c r="O16" s="34">
        <v>129</v>
      </c>
      <c r="P16" s="35"/>
      <c r="Q16" s="34">
        <v>281.10000000000002</v>
      </c>
      <c r="R16" s="34">
        <v>281.10000000000002</v>
      </c>
      <c r="S16" s="34">
        <v>129</v>
      </c>
      <c r="T16" s="35"/>
      <c r="U16" s="34">
        <v>281.10000000000002</v>
      </c>
      <c r="V16" s="34">
        <v>281.10000000000002</v>
      </c>
      <c r="W16" s="34">
        <v>129</v>
      </c>
      <c r="X16" s="35"/>
    </row>
    <row r="17" spans="1:24" s="18" customFormat="1" ht="18.75" customHeight="1" thickBot="1" x14ac:dyDescent="0.25">
      <c r="A17" s="337"/>
      <c r="B17" s="338"/>
      <c r="C17" s="339"/>
      <c r="D17" s="341"/>
      <c r="E17" s="343"/>
      <c r="F17" s="347"/>
      <c r="G17" s="347"/>
      <c r="H17" s="44" t="s">
        <v>28</v>
      </c>
      <c r="I17" s="45">
        <f>SUM(J17,L17)</f>
        <v>26.5</v>
      </c>
      <c r="J17" s="34">
        <f>11.5+15</f>
        <v>26.5</v>
      </c>
      <c r="K17" s="34">
        <v>15</v>
      </c>
      <c r="L17" s="35"/>
      <c r="M17" s="34"/>
      <c r="N17" s="34"/>
      <c r="O17" s="34"/>
      <c r="P17" s="35"/>
      <c r="Q17" s="34"/>
      <c r="R17" s="34"/>
      <c r="S17" s="34"/>
      <c r="T17" s="35"/>
      <c r="U17" s="34"/>
      <c r="V17" s="34"/>
      <c r="W17" s="34"/>
      <c r="X17" s="35"/>
    </row>
    <row r="18" spans="1:24" s="18" customFormat="1" ht="22.5" customHeight="1" thickBot="1" x14ac:dyDescent="0.25">
      <c r="A18" s="351"/>
      <c r="B18" s="353"/>
      <c r="C18" s="340"/>
      <c r="D18" s="342"/>
      <c r="E18" s="344"/>
      <c r="F18" s="348" t="s">
        <v>31</v>
      </c>
      <c r="G18" s="349"/>
      <c r="H18" s="354"/>
      <c r="I18" s="40">
        <f>SUM(J18,L18)</f>
        <v>281.8</v>
      </c>
      <c r="J18" s="41">
        <f>J16+J17</f>
        <v>281.8</v>
      </c>
      <c r="K18" s="41">
        <f>K16+K17</f>
        <v>128</v>
      </c>
      <c r="L18" s="42">
        <f>SUM(L16:L16)</f>
        <v>0</v>
      </c>
      <c r="M18" s="40">
        <f>SUM(N18,P18)</f>
        <v>281.10000000000002</v>
      </c>
      <c r="N18" s="41">
        <f>N16+N17</f>
        <v>281.10000000000002</v>
      </c>
      <c r="O18" s="41">
        <f>O16+O17</f>
        <v>129</v>
      </c>
      <c r="P18" s="42">
        <f>SUM(P16:P16)</f>
        <v>0</v>
      </c>
      <c r="Q18" s="40">
        <f>SUM(R18,T18)</f>
        <v>281.10000000000002</v>
      </c>
      <c r="R18" s="41">
        <f>R16+R17</f>
        <v>281.10000000000002</v>
      </c>
      <c r="S18" s="41">
        <f>S16+S17</f>
        <v>129</v>
      </c>
      <c r="T18" s="42">
        <f>SUM(T16:T16)</f>
        <v>0</v>
      </c>
      <c r="U18" s="40">
        <f>SUM(V18,X18)</f>
        <v>281.10000000000002</v>
      </c>
      <c r="V18" s="41">
        <f>V16+V17</f>
        <v>281.10000000000002</v>
      </c>
      <c r="W18" s="41">
        <f>W16+W17</f>
        <v>129</v>
      </c>
      <c r="X18" s="42">
        <f>SUM(X16:X16)</f>
        <v>0</v>
      </c>
    </row>
    <row r="19" spans="1:24" s="18" customFormat="1" ht="12" customHeight="1" x14ac:dyDescent="0.2">
      <c r="A19" s="350">
        <v>1</v>
      </c>
      <c r="B19" s="352">
        <v>1</v>
      </c>
      <c r="C19" s="347">
        <v>3</v>
      </c>
      <c r="D19" s="355" t="s">
        <v>34</v>
      </c>
      <c r="E19" s="356" t="s">
        <v>35</v>
      </c>
      <c r="F19" s="340" t="s">
        <v>26</v>
      </c>
      <c r="G19" s="340" t="s">
        <v>36</v>
      </c>
      <c r="H19" s="46" t="s">
        <v>28</v>
      </c>
      <c r="I19" s="43">
        <f>SUM(J19,L19)</f>
        <v>213.9</v>
      </c>
      <c r="J19" s="47">
        <f>215.6-1.7</f>
        <v>213.9</v>
      </c>
      <c r="K19" s="47">
        <v>174.8</v>
      </c>
      <c r="L19" s="48"/>
      <c r="M19" s="27">
        <f>SUM(N19,P19)</f>
        <v>244.7</v>
      </c>
      <c r="N19" s="49">
        <f>246.7-2</f>
        <v>244.7</v>
      </c>
      <c r="O19" s="47">
        <v>198.5</v>
      </c>
      <c r="P19" s="50"/>
      <c r="Q19" s="47">
        <v>248.2</v>
      </c>
      <c r="R19" s="47">
        <v>248.2</v>
      </c>
      <c r="S19" s="47">
        <v>200</v>
      </c>
      <c r="T19" s="50"/>
      <c r="U19" s="47">
        <v>248.2</v>
      </c>
      <c r="V19" s="47">
        <v>248.2</v>
      </c>
      <c r="W19" s="47">
        <v>200</v>
      </c>
      <c r="X19" s="50"/>
    </row>
    <row r="20" spans="1:24" s="18" customFormat="1" ht="12" customHeight="1" x14ac:dyDescent="0.2">
      <c r="A20" s="337"/>
      <c r="B20" s="338"/>
      <c r="C20" s="339"/>
      <c r="D20" s="341"/>
      <c r="E20" s="343"/>
      <c r="F20" s="346"/>
      <c r="G20" s="346"/>
      <c r="H20" s="51" t="s">
        <v>29</v>
      </c>
      <c r="I20" s="52">
        <v>0.8</v>
      </c>
      <c r="J20" s="34">
        <v>0.8</v>
      </c>
      <c r="K20" s="34"/>
      <c r="L20" s="35">
        <v>0</v>
      </c>
      <c r="M20" s="33">
        <v>0.8</v>
      </c>
      <c r="N20" s="34">
        <v>0.8</v>
      </c>
      <c r="O20" s="34"/>
      <c r="P20" s="53">
        <v>0</v>
      </c>
      <c r="Q20" s="28">
        <v>0.8</v>
      </c>
      <c r="R20" s="34">
        <v>0.8</v>
      </c>
      <c r="S20" s="34"/>
      <c r="T20" s="53">
        <v>0</v>
      </c>
      <c r="U20" s="28">
        <v>0.8</v>
      </c>
      <c r="V20" s="34">
        <v>0.8</v>
      </c>
      <c r="W20" s="34"/>
      <c r="X20" s="53">
        <v>0</v>
      </c>
    </row>
    <row r="21" spans="1:24" s="18" customFormat="1" ht="12" customHeight="1" thickBot="1" x14ac:dyDescent="0.25">
      <c r="A21" s="337"/>
      <c r="B21" s="338"/>
      <c r="C21" s="339"/>
      <c r="D21" s="341"/>
      <c r="E21" s="343"/>
      <c r="F21" s="347"/>
      <c r="G21" s="347"/>
      <c r="H21" s="54" t="s">
        <v>30</v>
      </c>
      <c r="I21" s="55">
        <f>J21</f>
        <v>1.8</v>
      </c>
      <c r="J21" s="55">
        <v>1.8</v>
      </c>
      <c r="K21" s="55">
        <v>1.7</v>
      </c>
      <c r="L21" s="56"/>
      <c r="M21" s="37">
        <v>1.5</v>
      </c>
      <c r="N21" s="55">
        <v>1.5</v>
      </c>
      <c r="O21" s="55">
        <v>1.5</v>
      </c>
      <c r="P21" s="57"/>
      <c r="Q21" s="55"/>
      <c r="R21" s="55"/>
      <c r="S21" s="55"/>
      <c r="T21" s="57"/>
      <c r="U21" s="55"/>
      <c r="V21" s="55"/>
      <c r="W21" s="55"/>
      <c r="X21" s="57"/>
    </row>
    <row r="22" spans="1:24" s="18" customFormat="1" ht="12" customHeight="1" thickBot="1" x14ac:dyDescent="0.25">
      <c r="A22" s="337"/>
      <c r="B22" s="338"/>
      <c r="C22" s="339"/>
      <c r="D22" s="341"/>
      <c r="E22" s="343"/>
      <c r="F22" s="348" t="s">
        <v>31</v>
      </c>
      <c r="G22" s="349"/>
      <c r="H22" s="354"/>
      <c r="I22" s="41">
        <f>J22</f>
        <v>216.50000000000003</v>
      </c>
      <c r="J22" s="41">
        <f>SUM(J19:J21)</f>
        <v>216.50000000000003</v>
      </c>
      <c r="K22" s="41">
        <f t="shared" ref="K22:L22" si="1">SUM(K19:K21)</f>
        <v>176.5</v>
      </c>
      <c r="L22" s="41">
        <f t="shared" si="1"/>
        <v>0</v>
      </c>
      <c r="M22" s="40">
        <f>M20+M19+M21</f>
        <v>247</v>
      </c>
      <c r="N22" s="40">
        <f t="shared" ref="N22:O22" si="2">N20+N19+N21</f>
        <v>247</v>
      </c>
      <c r="O22" s="40">
        <f t="shared" si="2"/>
        <v>200</v>
      </c>
      <c r="P22" s="42">
        <f>P19</f>
        <v>0</v>
      </c>
      <c r="Q22" s="40">
        <f>Q20+Q19</f>
        <v>249</v>
      </c>
      <c r="R22" s="41">
        <f>SUM(R19:R20)</f>
        <v>249</v>
      </c>
      <c r="S22" s="41">
        <f>SUM(S19:S20)</f>
        <v>200</v>
      </c>
      <c r="T22" s="42">
        <f>T19</f>
        <v>0</v>
      </c>
      <c r="U22" s="40">
        <f>U20+U19</f>
        <v>249</v>
      </c>
      <c r="V22" s="41">
        <f>SUM(V19:V20)</f>
        <v>249</v>
      </c>
      <c r="W22" s="41">
        <f>SUM(W19:W20)</f>
        <v>200</v>
      </c>
      <c r="X22" s="42">
        <f>X19</f>
        <v>0</v>
      </c>
    </row>
    <row r="23" spans="1:24" s="18" customFormat="1" ht="12" customHeight="1" x14ac:dyDescent="0.2">
      <c r="A23" s="350">
        <v>1</v>
      </c>
      <c r="B23" s="352">
        <v>1</v>
      </c>
      <c r="C23" s="347">
        <v>4</v>
      </c>
      <c r="D23" s="355" t="s">
        <v>37</v>
      </c>
      <c r="E23" s="356" t="s">
        <v>38</v>
      </c>
      <c r="F23" s="340" t="s">
        <v>26</v>
      </c>
      <c r="G23" s="340" t="s">
        <v>39</v>
      </c>
      <c r="H23" s="46" t="s">
        <v>28</v>
      </c>
      <c r="I23" s="43">
        <f>SUM(J23,L23)</f>
        <v>268.60000000000002</v>
      </c>
      <c r="J23" s="47">
        <f>270.6-2</f>
        <v>268.60000000000002</v>
      </c>
      <c r="K23" s="47">
        <v>208.9</v>
      </c>
      <c r="L23" s="48"/>
      <c r="M23" s="27">
        <f>SUM(N23,P23)</f>
        <v>302.39999999999998</v>
      </c>
      <c r="N23" s="49">
        <f>308.4-6</f>
        <v>302.39999999999998</v>
      </c>
      <c r="O23" s="47">
        <v>233.7</v>
      </c>
      <c r="P23" s="50"/>
      <c r="Q23" s="47">
        <v>310.89999999999998</v>
      </c>
      <c r="R23" s="47">
        <v>310.89999999999998</v>
      </c>
      <c r="S23" s="47">
        <v>235.2</v>
      </c>
      <c r="T23" s="50"/>
      <c r="U23" s="47">
        <v>310.89999999999998</v>
      </c>
      <c r="V23" s="47">
        <v>310.89999999999998</v>
      </c>
      <c r="W23" s="47">
        <v>235.2</v>
      </c>
      <c r="X23" s="50"/>
    </row>
    <row r="24" spans="1:24" s="18" customFormat="1" ht="12" customHeight="1" x14ac:dyDescent="0.2">
      <c r="A24" s="337"/>
      <c r="B24" s="338"/>
      <c r="C24" s="339"/>
      <c r="D24" s="341"/>
      <c r="E24" s="343"/>
      <c r="F24" s="346"/>
      <c r="G24" s="346"/>
      <c r="H24" s="51" t="s">
        <v>29</v>
      </c>
      <c r="I24" s="52">
        <f>J24+L24</f>
        <v>5</v>
      </c>
      <c r="J24" s="34">
        <v>5</v>
      </c>
      <c r="K24" s="34">
        <v>0</v>
      </c>
      <c r="L24" s="35">
        <v>0</v>
      </c>
      <c r="M24" s="33">
        <v>5</v>
      </c>
      <c r="N24" s="34">
        <v>5</v>
      </c>
      <c r="O24" s="34">
        <v>0</v>
      </c>
      <c r="P24" s="53">
        <v>0</v>
      </c>
      <c r="Q24" s="31">
        <f>R24+T24</f>
        <v>5</v>
      </c>
      <c r="R24" s="34">
        <v>5</v>
      </c>
      <c r="S24" s="34">
        <v>0</v>
      </c>
      <c r="T24" s="53">
        <v>0</v>
      </c>
      <c r="U24" s="31">
        <v>5</v>
      </c>
      <c r="V24" s="34">
        <v>5</v>
      </c>
      <c r="W24" s="34"/>
      <c r="X24" s="53">
        <v>0</v>
      </c>
    </row>
    <row r="25" spans="1:24" s="18" customFormat="1" ht="12" customHeight="1" thickBot="1" x14ac:dyDescent="0.25">
      <c r="A25" s="337"/>
      <c r="B25" s="338"/>
      <c r="C25" s="339"/>
      <c r="D25" s="341"/>
      <c r="E25" s="343"/>
      <c r="F25" s="347"/>
      <c r="G25" s="347"/>
      <c r="H25" s="54" t="s">
        <v>30</v>
      </c>
      <c r="I25" s="55">
        <f>J25</f>
        <v>1.6</v>
      </c>
      <c r="J25" s="55">
        <v>1.6</v>
      </c>
      <c r="K25" s="55">
        <v>1.5</v>
      </c>
      <c r="L25" s="56"/>
      <c r="M25" s="37">
        <v>3</v>
      </c>
      <c r="N25" s="55">
        <v>1.5</v>
      </c>
      <c r="O25" s="55">
        <v>1.5</v>
      </c>
      <c r="P25" s="57"/>
      <c r="Q25" s="58"/>
      <c r="R25" s="55"/>
      <c r="S25" s="55"/>
      <c r="T25" s="57"/>
      <c r="U25" s="58"/>
      <c r="V25" s="55"/>
      <c r="W25" s="55"/>
      <c r="X25" s="57"/>
    </row>
    <row r="26" spans="1:24" s="18" customFormat="1" ht="12" customHeight="1" thickBot="1" x14ac:dyDescent="0.25">
      <c r="A26" s="337"/>
      <c r="B26" s="338"/>
      <c r="C26" s="339"/>
      <c r="D26" s="341"/>
      <c r="E26" s="343"/>
      <c r="F26" s="348" t="s">
        <v>31</v>
      </c>
      <c r="G26" s="349"/>
      <c r="H26" s="354"/>
      <c r="I26" s="40">
        <f>SUM(J26,L26)</f>
        <v>275.20000000000005</v>
      </c>
      <c r="J26" s="41">
        <f>SUM(J23:J25)</f>
        <v>275.20000000000005</v>
      </c>
      <c r="K26" s="41">
        <f>SUM(K23:K25)</f>
        <v>210.4</v>
      </c>
      <c r="L26" s="41">
        <f t="shared" ref="L26" si="3">SUM(L23:L25)</f>
        <v>0</v>
      </c>
      <c r="M26" s="40">
        <f>SUM(N26,P26)</f>
        <v>308.89999999999998</v>
      </c>
      <c r="N26" s="41">
        <f>SUM(N23:N25)</f>
        <v>308.89999999999998</v>
      </c>
      <c r="O26" s="41">
        <f>SUM(O23:O25)</f>
        <v>235.2</v>
      </c>
      <c r="P26" s="42">
        <f>SUM(P23:P24)</f>
        <v>0</v>
      </c>
      <c r="Q26" s="40">
        <f>SUM(R26,T26)</f>
        <v>315.89999999999998</v>
      </c>
      <c r="R26" s="41">
        <f>SUM(R23:R24)</f>
        <v>315.89999999999998</v>
      </c>
      <c r="S26" s="41">
        <f>SUM(S23:S24)</f>
        <v>235.2</v>
      </c>
      <c r="T26" s="42">
        <f>SUM(T23:T24)</f>
        <v>0</v>
      </c>
      <c r="U26" s="40">
        <f>SUM(V26,X26)</f>
        <v>315.89999999999998</v>
      </c>
      <c r="V26" s="41">
        <f>SUM(V23:V24)</f>
        <v>315.89999999999998</v>
      </c>
      <c r="W26" s="41">
        <f>SUM(W23:W24)</f>
        <v>235.2</v>
      </c>
      <c r="X26" s="42">
        <f>SUM(X23:X24)</f>
        <v>0</v>
      </c>
    </row>
    <row r="27" spans="1:24" s="18" customFormat="1" ht="12" customHeight="1" x14ac:dyDescent="0.2">
      <c r="A27" s="350">
        <v>1</v>
      </c>
      <c r="B27" s="352">
        <v>1</v>
      </c>
      <c r="C27" s="347">
        <v>5</v>
      </c>
      <c r="D27" s="355" t="s">
        <v>40</v>
      </c>
      <c r="E27" s="356" t="s">
        <v>41</v>
      </c>
      <c r="F27" s="340" t="s">
        <v>26</v>
      </c>
      <c r="G27" s="340" t="s">
        <v>42</v>
      </c>
      <c r="H27" s="59" t="s">
        <v>28</v>
      </c>
      <c r="I27" s="27">
        <f>SUM(J27,L27)</f>
        <v>315</v>
      </c>
      <c r="J27" s="47">
        <f>317.6-2.6-1.4</f>
        <v>313.60000000000002</v>
      </c>
      <c r="K27" s="47">
        <v>258.2</v>
      </c>
      <c r="L27" s="60">
        <v>1.4</v>
      </c>
      <c r="M27" s="27">
        <f>SUM(N27,P27)</f>
        <v>370.6</v>
      </c>
      <c r="N27" s="49">
        <f>372.6-2</f>
        <v>370.6</v>
      </c>
      <c r="O27" s="47">
        <v>308.5</v>
      </c>
      <c r="P27" s="50"/>
      <c r="Q27" s="47">
        <v>376.2</v>
      </c>
      <c r="R27" s="47">
        <v>376.2</v>
      </c>
      <c r="S27" s="47">
        <v>310</v>
      </c>
      <c r="T27" s="50"/>
      <c r="U27" s="47">
        <v>376.2</v>
      </c>
      <c r="V27" s="47">
        <v>376.2</v>
      </c>
      <c r="W27" s="47">
        <v>310</v>
      </c>
      <c r="X27" s="50"/>
    </row>
    <row r="28" spans="1:24" s="18" customFormat="1" ht="12" customHeight="1" x14ac:dyDescent="0.2">
      <c r="A28" s="337"/>
      <c r="B28" s="338"/>
      <c r="C28" s="339"/>
      <c r="D28" s="341"/>
      <c r="E28" s="343"/>
      <c r="F28" s="346"/>
      <c r="G28" s="346"/>
      <c r="H28" s="61" t="s">
        <v>29</v>
      </c>
      <c r="I28" s="31">
        <f>J28+L28</f>
        <v>15</v>
      </c>
      <c r="J28" s="34">
        <f>4+7.1</f>
        <v>11.1</v>
      </c>
      <c r="K28" s="34">
        <v>0</v>
      </c>
      <c r="L28" s="53">
        <v>3.9</v>
      </c>
      <c r="M28" s="31">
        <v>15</v>
      </c>
      <c r="N28" s="34">
        <v>15</v>
      </c>
      <c r="O28" s="34">
        <v>0</v>
      </c>
      <c r="P28" s="53">
        <v>0</v>
      </c>
      <c r="Q28" s="31">
        <v>15</v>
      </c>
      <c r="R28" s="34">
        <v>15</v>
      </c>
      <c r="S28" s="34">
        <v>0</v>
      </c>
      <c r="T28" s="53">
        <v>0</v>
      </c>
      <c r="U28" s="31">
        <v>15</v>
      </c>
      <c r="V28" s="34">
        <v>15</v>
      </c>
      <c r="W28" s="34"/>
      <c r="X28" s="53">
        <v>0</v>
      </c>
    </row>
    <row r="29" spans="1:24" s="18" customFormat="1" ht="12" customHeight="1" thickBot="1" x14ac:dyDescent="0.25">
      <c r="A29" s="337"/>
      <c r="B29" s="338"/>
      <c r="C29" s="339"/>
      <c r="D29" s="341"/>
      <c r="E29" s="343"/>
      <c r="F29" s="347"/>
      <c r="G29" s="347"/>
      <c r="H29" s="62" t="s">
        <v>30</v>
      </c>
      <c r="I29" s="58">
        <f>J29</f>
        <v>3.6</v>
      </c>
      <c r="J29" s="55">
        <v>3.6</v>
      </c>
      <c r="K29" s="55">
        <v>3.5</v>
      </c>
      <c r="L29" s="57"/>
      <c r="M29" s="58">
        <v>1.5</v>
      </c>
      <c r="N29" s="55">
        <v>1.5</v>
      </c>
      <c r="O29" s="55">
        <v>1.5</v>
      </c>
      <c r="P29" s="57"/>
      <c r="Q29" s="58"/>
      <c r="R29" s="55"/>
      <c r="S29" s="55"/>
      <c r="T29" s="57"/>
      <c r="U29" s="58"/>
      <c r="V29" s="55"/>
      <c r="W29" s="55"/>
      <c r="X29" s="57"/>
    </row>
    <row r="30" spans="1:24" s="18" customFormat="1" ht="18" customHeight="1" thickBot="1" x14ac:dyDescent="0.25">
      <c r="A30" s="337"/>
      <c r="B30" s="338"/>
      <c r="C30" s="339"/>
      <c r="D30" s="341"/>
      <c r="E30" s="343"/>
      <c r="F30" s="348" t="s">
        <v>31</v>
      </c>
      <c r="G30" s="349"/>
      <c r="H30" s="354"/>
      <c r="I30" s="40">
        <f>SUM(J30,L30)</f>
        <v>333.60000000000008</v>
      </c>
      <c r="J30" s="41">
        <f>SUM(J27:J29)</f>
        <v>328.30000000000007</v>
      </c>
      <c r="K30" s="41">
        <f t="shared" ref="K30:L30" si="4">SUM(K27:K29)</f>
        <v>261.7</v>
      </c>
      <c r="L30" s="41">
        <f t="shared" si="4"/>
        <v>5.3</v>
      </c>
      <c r="M30" s="40">
        <f>SUM(N30,P30)</f>
        <v>387.1</v>
      </c>
      <c r="N30" s="41">
        <f>SUM(N27:N29)</f>
        <v>387.1</v>
      </c>
      <c r="O30" s="41">
        <f>SUM(O27:O29)</f>
        <v>310</v>
      </c>
      <c r="P30" s="42">
        <f>SUM(P27:P28)</f>
        <v>0</v>
      </c>
      <c r="Q30" s="40">
        <f>SUM(R30,T30)</f>
        <v>391.2</v>
      </c>
      <c r="R30" s="41">
        <f>SUM(R27:R28)</f>
        <v>391.2</v>
      </c>
      <c r="S30" s="41">
        <f>SUM(S27:S28)</f>
        <v>310</v>
      </c>
      <c r="T30" s="42">
        <f>SUM(T27:T28)</f>
        <v>0</v>
      </c>
      <c r="U30" s="40">
        <f>SUM(V30,X30)</f>
        <v>391.2</v>
      </c>
      <c r="V30" s="41">
        <f>SUM(V27:V28)</f>
        <v>391.2</v>
      </c>
      <c r="W30" s="41">
        <f>SUM(W27:W28)</f>
        <v>310</v>
      </c>
      <c r="X30" s="42">
        <f>SUM(X27:X28)</f>
        <v>0</v>
      </c>
    </row>
    <row r="31" spans="1:24" s="18" customFormat="1" ht="12" customHeight="1" x14ac:dyDescent="0.2">
      <c r="A31" s="350">
        <v>1</v>
      </c>
      <c r="B31" s="352">
        <v>1</v>
      </c>
      <c r="C31" s="347">
        <v>6</v>
      </c>
      <c r="D31" s="355" t="s">
        <v>43</v>
      </c>
      <c r="E31" s="356" t="s">
        <v>44</v>
      </c>
      <c r="F31" s="340" t="s">
        <v>26</v>
      </c>
      <c r="G31" s="340" t="s">
        <v>45</v>
      </c>
      <c r="H31" s="46" t="s">
        <v>28</v>
      </c>
      <c r="I31" s="43">
        <f>J31+L31</f>
        <v>204.20000000000002</v>
      </c>
      <c r="J31" s="47">
        <f>201.9+1.3</f>
        <v>203.20000000000002</v>
      </c>
      <c r="K31" s="47">
        <v>156.69999999999999</v>
      </c>
      <c r="L31" s="50">
        <v>1</v>
      </c>
      <c r="M31" s="47">
        <v>254.1</v>
      </c>
      <c r="N31" s="47">
        <v>254.1</v>
      </c>
      <c r="O31" s="47">
        <v>197</v>
      </c>
      <c r="P31" s="50"/>
      <c r="Q31" s="47">
        <v>264.60000000000002</v>
      </c>
      <c r="R31" s="47">
        <v>264.60000000000002</v>
      </c>
      <c r="S31" s="47">
        <v>198.5</v>
      </c>
      <c r="T31" s="50"/>
      <c r="U31" s="47">
        <v>264.60000000000002</v>
      </c>
      <c r="V31" s="47">
        <v>264.60000000000002</v>
      </c>
      <c r="W31" s="47">
        <v>198.5</v>
      </c>
      <c r="X31" s="50"/>
    </row>
    <row r="32" spans="1:24" s="18" customFormat="1" ht="12" customHeight="1" x14ac:dyDescent="0.2">
      <c r="A32" s="337"/>
      <c r="B32" s="338"/>
      <c r="C32" s="339"/>
      <c r="D32" s="341"/>
      <c r="E32" s="343"/>
      <c r="F32" s="346"/>
      <c r="G32" s="346"/>
      <c r="H32" s="51" t="s">
        <v>29</v>
      </c>
      <c r="I32" s="45">
        <v>1.7</v>
      </c>
      <c r="J32" s="34">
        <v>1.7</v>
      </c>
      <c r="K32" s="34">
        <v>0</v>
      </c>
      <c r="L32" s="53">
        <v>0</v>
      </c>
      <c r="M32" s="34">
        <v>5</v>
      </c>
      <c r="N32" s="34">
        <v>1.2</v>
      </c>
      <c r="O32" s="34">
        <v>0</v>
      </c>
      <c r="P32" s="53">
        <v>3.8</v>
      </c>
      <c r="Q32" s="34">
        <v>1.7</v>
      </c>
      <c r="R32" s="34">
        <v>1.7</v>
      </c>
      <c r="S32" s="34">
        <v>0</v>
      </c>
      <c r="T32" s="53">
        <v>0</v>
      </c>
      <c r="U32" s="34">
        <v>1.7</v>
      </c>
      <c r="V32" s="34">
        <v>1.7</v>
      </c>
      <c r="W32" s="34"/>
      <c r="X32" s="53">
        <v>0</v>
      </c>
    </row>
    <row r="33" spans="1:24" s="18" customFormat="1" ht="12" customHeight="1" thickBot="1" x14ac:dyDescent="0.25">
      <c r="A33" s="337"/>
      <c r="B33" s="338"/>
      <c r="C33" s="339"/>
      <c r="D33" s="341"/>
      <c r="E33" s="343"/>
      <c r="F33" s="347"/>
      <c r="G33" s="347"/>
      <c r="H33" s="54" t="s">
        <v>30</v>
      </c>
      <c r="I33" s="55">
        <f>J33</f>
        <v>1.3</v>
      </c>
      <c r="J33" s="55">
        <v>1.3</v>
      </c>
      <c r="K33" s="55">
        <v>1.2</v>
      </c>
      <c r="L33" s="57"/>
      <c r="M33" s="55">
        <v>1.5</v>
      </c>
      <c r="N33" s="55">
        <v>1.5</v>
      </c>
      <c r="O33" s="55">
        <v>1.5</v>
      </c>
      <c r="P33" s="57"/>
      <c r="Q33" s="55"/>
      <c r="R33" s="55"/>
      <c r="S33" s="55"/>
      <c r="T33" s="57"/>
      <c r="U33" s="55"/>
      <c r="V33" s="55"/>
      <c r="W33" s="55"/>
      <c r="X33" s="57"/>
    </row>
    <row r="34" spans="1:24" s="18" customFormat="1" ht="19.5" customHeight="1" thickBot="1" x14ac:dyDescent="0.25">
      <c r="A34" s="337"/>
      <c r="B34" s="338"/>
      <c r="C34" s="339"/>
      <c r="D34" s="341"/>
      <c r="E34" s="343"/>
      <c r="F34" s="348" t="s">
        <v>31</v>
      </c>
      <c r="G34" s="349"/>
      <c r="H34" s="354"/>
      <c r="I34" s="63">
        <f>SUM(J34,L34)</f>
        <v>207.20000000000002</v>
      </c>
      <c r="J34" s="64">
        <f>SUM(J31:J33)</f>
        <v>206.20000000000002</v>
      </c>
      <c r="K34" s="64">
        <f t="shared" ref="K34:L34" si="5">SUM(K31:K33)</f>
        <v>157.89999999999998</v>
      </c>
      <c r="L34" s="64">
        <f t="shared" si="5"/>
        <v>1</v>
      </c>
      <c r="M34" s="63">
        <f>SUM(N34,P34)</f>
        <v>260.59999999999997</v>
      </c>
      <c r="N34" s="64">
        <f>SUM(N31:N33)</f>
        <v>256.79999999999995</v>
      </c>
      <c r="O34" s="64">
        <f>SUM(O31:O33)</f>
        <v>198.5</v>
      </c>
      <c r="P34" s="65">
        <f>SUM(P31:P32)</f>
        <v>3.8</v>
      </c>
      <c r="Q34" s="63">
        <f>SUM(R34,T34)</f>
        <v>266.3</v>
      </c>
      <c r="R34" s="64">
        <f>SUM(R31:R32)</f>
        <v>266.3</v>
      </c>
      <c r="S34" s="64">
        <f>SUM(S31:S32)</f>
        <v>198.5</v>
      </c>
      <c r="T34" s="65">
        <f>SUM(T31:T32)</f>
        <v>0</v>
      </c>
      <c r="U34" s="63">
        <f>SUM(V34,X34)</f>
        <v>266.3</v>
      </c>
      <c r="V34" s="64">
        <f>SUM(V31:V32)</f>
        <v>266.3</v>
      </c>
      <c r="W34" s="64">
        <f>SUM(W31:W32)</f>
        <v>198.5</v>
      </c>
      <c r="X34" s="65">
        <f>SUM(X31:X32)</f>
        <v>0</v>
      </c>
    </row>
    <row r="35" spans="1:24" s="18" customFormat="1" ht="12" customHeight="1" x14ac:dyDescent="0.2">
      <c r="A35" s="350">
        <v>1</v>
      </c>
      <c r="B35" s="352">
        <v>1</v>
      </c>
      <c r="C35" s="347">
        <v>7</v>
      </c>
      <c r="D35" s="355" t="s">
        <v>46</v>
      </c>
      <c r="E35" s="356" t="s">
        <v>47</v>
      </c>
      <c r="F35" s="340" t="s">
        <v>26</v>
      </c>
      <c r="G35" s="340" t="s">
        <v>48</v>
      </c>
      <c r="H35" s="66" t="s">
        <v>28</v>
      </c>
      <c r="I35" s="27">
        <f>SUM(J35,L35)</f>
        <v>177.8</v>
      </c>
      <c r="J35" s="47">
        <f>178.3-0.5</f>
        <v>177.8</v>
      </c>
      <c r="K35" s="47">
        <v>142.80000000000001</v>
      </c>
      <c r="L35" s="48"/>
      <c r="M35" s="27">
        <v>232.7</v>
      </c>
      <c r="N35" s="47">
        <v>232.7</v>
      </c>
      <c r="O35" s="47">
        <v>186.5</v>
      </c>
      <c r="P35" s="48"/>
      <c r="Q35" s="27">
        <v>239.2</v>
      </c>
      <c r="R35" s="47">
        <v>239.2</v>
      </c>
      <c r="S35" s="47">
        <v>188</v>
      </c>
      <c r="T35" s="48"/>
      <c r="U35" s="27">
        <v>239.2</v>
      </c>
      <c r="V35" s="47">
        <v>239.2</v>
      </c>
      <c r="W35" s="47">
        <v>188</v>
      </c>
      <c r="X35" s="48"/>
    </row>
    <row r="36" spans="1:24" s="18" customFormat="1" ht="12" customHeight="1" x14ac:dyDescent="0.2">
      <c r="A36" s="337"/>
      <c r="B36" s="338"/>
      <c r="C36" s="339"/>
      <c r="D36" s="341"/>
      <c r="E36" s="343"/>
      <c r="F36" s="346"/>
      <c r="G36" s="346"/>
      <c r="H36" s="61" t="s">
        <v>29</v>
      </c>
      <c r="I36" s="33">
        <v>1.5</v>
      </c>
      <c r="J36" s="34">
        <v>1.5</v>
      </c>
      <c r="K36" s="34">
        <v>0.5</v>
      </c>
      <c r="L36" s="35"/>
      <c r="M36" s="33">
        <v>2</v>
      </c>
      <c r="N36" s="34">
        <v>2</v>
      </c>
      <c r="O36" s="34"/>
      <c r="P36" s="35">
        <v>0</v>
      </c>
      <c r="Q36" s="33">
        <v>2</v>
      </c>
      <c r="R36" s="34">
        <v>2</v>
      </c>
      <c r="S36" s="34"/>
      <c r="T36" s="35">
        <v>0</v>
      </c>
      <c r="U36" s="33">
        <v>2</v>
      </c>
      <c r="V36" s="34">
        <v>2</v>
      </c>
      <c r="W36" s="34"/>
      <c r="X36" s="35"/>
    </row>
    <row r="37" spans="1:24" s="18" customFormat="1" ht="12" customHeight="1" thickBot="1" x14ac:dyDescent="0.25">
      <c r="A37" s="337"/>
      <c r="B37" s="338"/>
      <c r="C37" s="339"/>
      <c r="D37" s="341"/>
      <c r="E37" s="343"/>
      <c r="F37" s="347"/>
      <c r="G37" s="347"/>
      <c r="H37" s="62" t="s">
        <v>30</v>
      </c>
      <c r="I37" s="67">
        <f>J37</f>
        <v>1.3</v>
      </c>
      <c r="J37" s="68">
        <v>1.3</v>
      </c>
      <c r="K37" s="68">
        <v>1.2</v>
      </c>
      <c r="L37" s="69"/>
      <c r="M37" s="67">
        <v>1.5</v>
      </c>
      <c r="N37" s="68">
        <v>1.5</v>
      </c>
      <c r="O37" s="68">
        <v>1.5</v>
      </c>
      <c r="P37" s="69"/>
      <c r="Q37" s="67"/>
      <c r="R37" s="68"/>
      <c r="S37" s="68"/>
      <c r="T37" s="69"/>
      <c r="U37" s="67"/>
      <c r="V37" s="68"/>
      <c r="W37" s="68"/>
      <c r="X37" s="69"/>
    </row>
    <row r="38" spans="1:24" s="18" customFormat="1" ht="27.75" customHeight="1" thickBot="1" x14ac:dyDescent="0.25">
      <c r="A38" s="337"/>
      <c r="B38" s="338"/>
      <c r="C38" s="339"/>
      <c r="D38" s="341"/>
      <c r="E38" s="343"/>
      <c r="F38" s="348" t="s">
        <v>31</v>
      </c>
      <c r="G38" s="349"/>
      <c r="H38" s="354"/>
      <c r="I38" s="70">
        <f>SUM(J38,L38)</f>
        <v>180.60000000000002</v>
      </c>
      <c r="J38" s="71">
        <f>SUM(J35:J37)</f>
        <v>180.60000000000002</v>
      </c>
      <c r="K38" s="71">
        <f t="shared" ref="K38:L38" si="6">SUM(K35:K37)</f>
        <v>144.5</v>
      </c>
      <c r="L38" s="71">
        <f t="shared" si="6"/>
        <v>0</v>
      </c>
      <c r="M38" s="70">
        <f>SUM(N38,P38)</f>
        <v>236.2</v>
      </c>
      <c r="N38" s="71">
        <f>SUM(N35:N37)</f>
        <v>236.2</v>
      </c>
      <c r="O38" s="71">
        <f>SUM(O35:O37)</f>
        <v>188</v>
      </c>
      <c r="P38" s="72">
        <f>SUM(P35:P36)</f>
        <v>0</v>
      </c>
      <c r="Q38" s="70">
        <f>SUM(R38,T38)</f>
        <v>241.2</v>
      </c>
      <c r="R38" s="71">
        <f>SUM(R35:R36)</f>
        <v>241.2</v>
      </c>
      <c r="S38" s="71">
        <f>SUM(S35:S36)</f>
        <v>188</v>
      </c>
      <c r="T38" s="72">
        <f>SUM(T35:T36)</f>
        <v>0</v>
      </c>
      <c r="U38" s="70">
        <f>SUM(V38,X38)</f>
        <v>241.2</v>
      </c>
      <c r="V38" s="71">
        <f>SUM(V35:V36)</f>
        <v>241.2</v>
      </c>
      <c r="W38" s="71">
        <f>SUM(W35:W36)</f>
        <v>188</v>
      </c>
      <c r="X38" s="72">
        <f>SUM(X35:X36)</f>
        <v>0</v>
      </c>
    </row>
    <row r="39" spans="1:24" s="18" customFormat="1" ht="12" customHeight="1" x14ac:dyDescent="0.2">
      <c r="A39" s="350">
        <v>1</v>
      </c>
      <c r="B39" s="352">
        <v>1</v>
      </c>
      <c r="C39" s="347">
        <v>8</v>
      </c>
      <c r="D39" s="364" t="s">
        <v>49</v>
      </c>
      <c r="E39" s="356" t="s">
        <v>50</v>
      </c>
      <c r="F39" s="340" t="s">
        <v>51</v>
      </c>
      <c r="G39" s="340" t="s">
        <v>52</v>
      </c>
      <c r="H39" s="59" t="s">
        <v>28</v>
      </c>
      <c r="I39" s="27">
        <f>SUM(J39,L39)</f>
        <v>1049.8</v>
      </c>
      <c r="J39" s="47">
        <f>952.4-3.5+0.9</f>
        <v>949.8</v>
      </c>
      <c r="K39" s="47">
        <v>850.3</v>
      </c>
      <c r="L39" s="48">
        <f>40+60</f>
        <v>100</v>
      </c>
      <c r="M39" s="47">
        <f>N39+P39</f>
        <v>1163.4000000000001</v>
      </c>
      <c r="N39" s="49">
        <f>1161.4+2</f>
        <v>1163.4000000000001</v>
      </c>
      <c r="O39" s="47">
        <v>1043.8</v>
      </c>
      <c r="P39" s="48"/>
      <c r="Q39" s="47">
        <v>1173.4000000000001</v>
      </c>
      <c r="R39" s="47">
        <v>1173.4000000000001</v>
      </c>
      <c r="S39" s="47">
        <v>1055.8</v>
      </c>
      <c r="T39" s="48"/>
      <c r="U39" s="47">
        <v>1173.4000000000001</v>
      </c>
      <c r="V39" s="47">
        <v>1173.4000000000001</v>
      </c>
      <c r="W39" s="47">
        <v>1055.8</v>
      </c>
      <c r="X39" s="48"/>
    </row>
    <row r="40" spans="1:24" s="18" customFormat="1" ht="12" customHeight="1" x14ac:dyDescent="0.2">
      <c r="A40" s="337"/>
      <c r="B40" s="338"/>
      <c r="C40" s="339"/>
      <c r="D40" s="365"/>
      <c r="E40" s="343"/>
      <c r="F40" s="346"/>
      <c r="G40" s="346"/>
      <c r="H40" s="61" t="s">
        <v>53</v>
      </c>
      <c r="I40" s="31">
        <f>J40+L40</f>
        <v>0</v>
      </c>
      <c r="J40" s="28"/>
      <c r="K40" s="28"/>
      <c r="L40" s="29"/>
      <c r="M40" s="31">
        <f>N40+P40</f>
        <v>0</v>
      </c>
      <c r="N40" s="28"/>
      <c r="O40" s="28"/>
      <c r="P40" s="29"/>
      <c r="Q40" s="31">
        <f>R40+T40</f>
        <v>0</v>
      </c>
      <c r="R40" s="28"/>
      <c r="S40" s="28"/>
      <c r="T40" s="29"/>
      <c r="U40" s="31"/>
      <c r="V40" s="28"/>
      <c r="W40" s="28"/>
      <c r="X40" s="29"/>
    </row>
    <row r="41" spans="1:24" s="18" customFormat="1" ht="12" customHeight="1" x14ac:dyDescent="0.2">
      <c r="A41" s="337"/>
      <c r="B41" s="338"/>
      <c r="C41" s="339"/>
      <c r="D41" s="365"/>
      <c r="E41" s="343"/>
      <c r="F41" s="346"/>
      <c r="G41" s="346"/>
      <c r="H41" s="32" t="s">
        <v>29</v>
      </c>
      <c r="I41" s="33">
        <v>4</v>
      </c>
      <c r="J41" s="34">
        <v>4</v>
      </c>
      <c r="K41" s="34">
        <v>0</v>
      </c>
      <c r="L41" s="35">
        <v>0</v>
      </c>
      <c r="M41" s="33">
        <v>3</v>
      </c>
      <c r="N41" s="34">
        <v>3</v>
      </c>
      <c r="O41" s="34">
        <v>0</v>
      </c>
      <c r="P41" s="53">
        <v>0</v>
      </c>
      <c r="Q41" s="33">
        <v>3</v>
      </c>
      <c r="R41" s="34">
        <v>3</v>
      </c>
      <c r="S41" s="34">
        <v>0</v>
      </c>
      <c r="T41" s="53">
        <v>0</v>
      </c>
      <c r="U41" s="33">
        <v>3</v>
      </c>
      <c r="V41" s="34">
        <v>3</v>
      </c>
      <c r="W41" s="34"/>
      <c r="X41" s="53">
        <v>0</v>
      </c>
    </row>
    <row r="42" spans="1:24" s="18" customFormat="1" ht="12" customHeight="1" thickBot="1" x14ac:dyDescent="0.25">
      <c r="A42" s="337"/>
      <c r="B42" s="338"/>
      <c r="C42" s="339"/>
      <c r="D42" s="365"/>
      <c r="E42" s="343"/>
      <c r="F42" s="347"/>
      <c r="G42" s="347"/>
      <c r="H42" s="36" t="s">
        <v>30</v>
      </c>
      <c r="I42" s="58">
        <f>J42+L42</f>
        <v>84.5</v>
      </c>
      <c r="J42" s="55">
        <v>14.3</v>
      </c>
      <c r="K42" s="55">
        <v>14.1</v>
      </c>
      <c r="L42" s="56">
        <v>70.2</v>
      </c>
      <c r="M42" s="58">
        <v>89.6</v>
      </c>
      <c r="N42" s="55">
        <v>12</v>
      </c>
      <c r="O42" s="55">
        <v>12</v>
      </c>
      <c r="P42" s="57">
        <v>77.7</v>
      </c>
      <c r="Q42" s="58"/>
      <c r="R42" s="55"/>
      <c r="S42" s="55"/>
      <c r="T42" s="57"/>
      <c r="U42" s="58"/>
      <c r="V42" s="55"/>
      <c r="W42" s="55"/>
      <c r="X42" s="57"/>
    </row>
    <row r="43" spans="1:24" s="18" customFormat="1" ht="17.25" customHeight="1" thickBot="1" x14ac:dyDescent="0.25">
      <c r="A43" s="351"/>
      <c r="B43" s="353"/>
      <c r="C43" s="340"/>
      <c r="D43" s="365"/>
      <c r="E43" s="343"/>
      <c r="F43" s="348" t="s">
        <v>31</v>
      </c>
      <c r="G43" s="349"/>
      <c r="H43" s="354"/>
      <c r="I43" s="40">
        <f>J43+L43</f>
        <v>1138.3</v>
      </c>
      <c r="J43" s="41">
        <f>J39+J40+J41+J42</f>
        <v>968.09999999999991</v>
      </c>
      <c r="K43" s="41">
        <f>K39+K40+K41+K42</f>
        <v>864.4</v>
      </c>
      <c r="L43" s="41">
        <f t="shared" ref="L43" si="7">L39+L40+L41+L42</f>
        <v>170.2</v>
      </c>
      <c r="M43" s="40">
        <f>N43+P43</f>
        <v>1256.1000000000001</v>
      </c>
      <c r="N43" s="41">
        <f>N39+N40+N41+N42</f>
        <v>1178.4000000000001</v>
      </c>
      <c r="O43" s="41">
        <f>SUM(O39:O42)</f>
        <v>1055.8</v>
      </c>
      <c r="P43" s="41">
        <f>SUM(P39:P42)</f>
        <v>77.7</v>
      </c>
      <c r="Q43" s="40">
        <v>1176.4000000000001</v>
      </c>
      <c r="R43" s="41">
        <v>1176.4000000000001</v>
      </c>
      <c r="S43" s="41">
        <v>1055.8</v>
      </c>
      <c r="T43" s="42">
        <f>SUM(T39:T41)</f>
        <v>0</v>
      </c>
      <c r="U43" s="40">
        <v>1176.4000000000001</v>
      </c>
      <c r="V43" s="41">
        <v>1176.4000000000001</v>
      </c>
      <c r="W43" s="41">
        <f>SUM(W39:W41)</f>
        <v>1055.8</v>
      </c>
      <c r="X43" s="42">
        <f>SUM(X39:X41)</f>
        <v>0</v>
      </c>
    </row>
    <row r="44" spans="1:24" s="18" customFormat="1" ht="24.75" customHeight="1" thickBot="1" x14ac:dyDescent="0.25">
      <c r="A44" s="350">
        <v>1</v>
      </c>
      <c r="B44" s="352">
        <v>1</v>
      </c>
      <c r="C44" s="357">
        <v>9</v>
      </c>
      <c r="D44" s="359" t="s">
        <v>54</v>
      </c>
      <c r="E44" s="360" t="s">
        <v>55</v>
      </c>
      <c r="F44" s="73" t="s">
        <v>26</v>
      </c>
      <c r="G44" s="74" t="s">
        <v>56</v>
      </c>
      <c r="H44" s="75" t="s">
        <v>28</v>
      </c>
      <c r="I44" s="76">
        <v>47.2</v>
      </c>
      <c r="J44" s="77">
        <v>47.2</v>
      </c>
      <c r="K44" s="77"/>
      <c r="L44" s="78"/>
      <c r="M44" s="79">
        <v>120</v>
      </c>
      <c r="N44" s="77">
        <v>120</v>
      </c>
      <c r="O44" s="77"/>
      <c r="P44" s="80"/>
      <c r="Q44" s="81">
        <v>120</v>
      </c>
      <c r="R44" s="43">
        <v>120</v>
      </c>
      <c r="S44" s="77"/>
      <c r="T44" s="80"/>
      <c r="U44" s="81">
        <v>120</v>
      </c>
      <c r="V44" s="43">
        <v>120</v>
      </c>
      <c r="W44" s="77"/>
      <c r="X44" s="80"/>
    </row>
    <row r="45" spans="1:24" s="18" customFormat="1" ht="17.25" customHeight="1" thickBot="1" x14ac:dyDescent="0.25">
      <c r="A45" s="351"/>
      <c r="B45" s="353"/>
      <c r="C45" s="358"/>
      <c r="D45" s="359"/>
      <c r="E45" s="361"/>
      <c r="F45" s="362" t="s">
        <v>31</v>
      </c>
      <c r="G45" s="362"/>
      <c r="H45" s="363"/>
      <c r="I45" s="64">
        <f>I44</f>
        <v>47.2</v>
      </c>
      <c r="J45" s="64">
        <f>J44</f>
        <v>47.2</v>
      </c>
      <c r="K45" s="64"/>
      <c r="L45" s="82"/>
      <c r="M45" s="63">
        <f>M44</f>
        <v>120</v>
      </c>
      <c r="N45" s="64">
        <f>N44</f>
        <v>120</v>
      </c>
      <c r="O45" s="64"/>
      <c r="P45" s="65"/>
      <c r="Q45" s="63">
        <f>Q44</f>
        <v>120</v>
      </c>
      <c r="R45" s="64">
        <f>R44</f>
        <v>120</v>
      </c>
      <c r="S45" s="64"/>
      <c r="T45" s="65"/>
      <c r="U45" s="63">
        <f>U44</f>
        <v>120</v>
      </c>
      <c r="V45" s="64">
        <f>V44</f>
        <v>120</v>
      </c>
      <c r="W45" s="64"/>
      <c r="X45" s="65"/>
    </row>
    <row r="46" spans="1:24" s="18" customFormat="1" ht="17.25" customHeight="1" x14ac:dyDescent="0.2">
      <c r="A46" s="350">
        <v>1</v>
      </c>
      <c r="B46" s="338">
        <v>1</v>
      </c>
      <c r="C46" s="339">
        <v>10</v>
      </c>
      <c r="D46" s="377" t="s">
        <v>57</v>
      </c>
      <c r="E46" s="83" t="s">
        <v>58</v>
      </c>
      <c r="F46" s="484" t="s">
        <v>26</v>
      </c>
      <c r="G46" s="484" t="s">
        <v>59</v>
      </c>
      <c r="H46" s="485" t="s">
        <v>28</v>
      </c>
      <c r="I46" s="482"/>
      <c r="J46" s="84"/>
      <c r="K46" s="85"/>
      <c r="L46" s="78"/>
      <c r="M46" s="86">
        <f>N46+P46</f>
        <v>55</v>
      </c>
      <c r="N46" s="77">
        <f>21.1+33-9.1</f>
        <v>45</v>
      </c>
      <c r="O46" s="297"/>
      <c r="P46" s="60">
        <f>10</f>
        <v>10</v>
      </c>
      <c r="Q46" s="86">
        <v>150</v>
      </c>
      <c r="R46" s="77">
        <v>150</v>
      </c>
      <c r="S46" s="77"/>
      <c r="T46" s="60"/>
      <c r="U46" s="86">
        <v>150</v>
      </c>
      <c r="V46" s="77">
        <v>150</v>
      </c>
      <c r="W46" s="77"/>
      <c r="X46" s="60"/>
    </row>
    <row r="47" spans="1:24" s="18" customFormat="1" ht="17.25" customHeight="1" x14ac:dyDescent="0.2">
      <c r="A47" s="337"/>
      <c r="B47" s="338"/>
      <c r="C47" s="339"/>
      <c r="D47" s="377"/>
      <c r="E47" s="87" t="s">
        <v>50</v>
      </c>
      <c r="F47" s="484"/>
      <c r="G47" s="484"/>
      <c r="H47" s="485"/>
      <c r="I47" s="483"/>
      <c r="J47" s="88"/>
      <c r="K47" s="88"/>
      <c r="L47" s="89"/>
      <c r="M47" s="90">
        <f t="shared" ref="M47:M52" si="8">N47+P47</f>
        <v>74.900000000000006</v>
      </c>
      <c r="N47" s="88">
        <v>59</v>
      </c>
      <c r="O47" s="88"/>
      <c r="P47" s="89">
        <v>15.9</v>
      </c>
      <c r="Q47" s="90">
        <f t="shared" ref="Q47:Q52" si="9">R47+T47</f>
        <v>0</v>
      </c>
      <c r="R47" s="88"/>
      <c r="S47" s="88"/>
      <c r="T47" s="89"/>
      <c r="U47" s="90">
        <f t="shared" ref="U47:U52" si="10">V47+X47</f>
        <v>0</v>
      </c>
      <c r="V47" s="88"/>
      <c r="W47" s="88"/>
      <c r="X47" s="89"/>
    </row>
    <row r="48" spans="1:24" s="18" customFormat="1" ht="17.25" customHeight="1" x14ac:dyDescent="0.2">
      <c r="A48" s="337"/>
      <c r="B48" s="338"/>
      <c r="C48" s="339"/>
      <c r="D48" s="377"/>
      <c r="E48" s="87" t="s">
        <v>47</v>
      </c>
      <c r="F48" s="484"/>
      <c r="G48" s="484"/>
      <c r="H48" s="485"/>
      <c r="I48" s="483"/>
      <c r="J48" s="91"/>
      <c r="K48" s="88"/>
      <c r="L48" s="89"/>
      <c r="M48" s="90">
        <f t="shared" si="8"/>
        <v>5</v>
      </c>
      <c r="N48" s="88"/>
      <c r="O48" s="88"/>
      <c r="P48" s="89">
        <v>5</v>
      </c>
      <c r="Q48" s="90">
        <f t="shared" si="9"/>
        <v>0</v>
      </c>
      <c r="R48" s="88"/>
      <c r="S48" s="88"/>
      <c r="T48" s="89"/>
      <c r="U48" s="90">
        <f t="shared" si="10"/>
        <v>0</v>
      </c>
      <c r="V48" s="88"/>
      <c r="W48" s="88"/>
      <c r="X48" s="89"/>
    </row>
    <row r="49" spans="1:26" s="18" customFormat="1" ht="17.25" customHeight="1" x14ac:dyDescent="0.2">
      <c r="A49" s="337"/>
      <c r="B49" s="338"/>
      <c r="C49" s="339"/>
      <c r="D49" s="377"/>
      <c r="E49" s="87" t="s">
        <v>35</v>
      </c>
      <c r="F49" s="484"/>
      <c r="G49" s="484"/>
      <c r="H49" s="485"/>
      <c r="I49" s="483"/>
      <c r="J49" s="91"/>
      <c r="K49" s="88"/>
      <c r="L49" s="89"/>
      <c r="M49" s="90">
        <f t="shared" si="8"/>
        <v>6</v>
      </c>
      <c r="N49" s="88">
        <f>1</f>
        <v>1</v>
      </c>
      <c r="O49" s="88"/>
      <c r="P49" s="89">
        <v>5</v>
      </c>
      <c r="Q49" s="90">
        <f t="shared" si="9"/>
        <v>0</v>
      </c>
      <c r="R49" s="88"/>
      <c r="S49" s="88"/>
      <c r="T49" s="89"/>
      <c r="U49" s="90">
        <f t="shared" si="10"/>
        <v>0</v>
      </c>
      <c r="V49" s="88"/>
      <c r="W49" s="88"/>
      <c r="X49" s="89"/>
    </row>
    <row r="50" spans="1:26" s="18" customFormat="1" ht="17.25" customHeight="1" x14ac:dyDescent="0.2">
      <c r="A50" s="337"/>
      <c r="B50" s="338"/>
      <c r="C50" s="339"/>
      <c r="D50" s="377"/>
      <c r="E50" s="87" t="s">
        <v>60</v>
      </c>
      <c r="F50" s="484"/>
      <c r="G50" s="484"/>
      <c r="H50" s="485"/>
      <c r="I50" s="483"/>
      <c r="J50" s="88"/>
      <c r="K50" s="88"/>
      <c r="L50" s="89"/>
      <c r="M50" s="90">
        <f t="shared" si="8"/>
        <v>2</v>
      </c>
      <c r="N50" s="88"/>
      <c r="O50" s="88"/>
      <c r="P50" s="89">
        <v>2</v>
      </c>
      <c r="Q50" s="90">
        <f t="shared" si="9"/>
        <v>0</v>
      </c>
      <c r="R50" s="88"/>
      <c r="S50" s="88"/>
      <c r="T50" s="89"/>
      <c r="U50" s="90">
        <f t="shared" si="10"/>
        <v>0</v>
      </c>
      <c r="V50" s="88"/>
      <c r="W50" s="88"/>
      <c r="X50" s="89"/>
    </row>
    <row r="51" spans="1:26" s="18" customFormat="1" ht="17.25" customHeight="1" x14ac:dyDescent="0.2">
      <c r="A51" s="337"/>
      <c r="B51" s="338"/>
      <c r="C51" s="339"/>
      <c r="D51" s="377"/>
      <c r="E51" s="87" t="s">
        <v>38</v>
      </c>
      <c r="F51" s="484"/>
      <c r="G51" s="484"/>
      <c r="H51" s="485"/>
      <c r="I51" s="483"/>
      <c r="J51" s="91"/>
      <c r="K51" s="88"/>
      <c r="L51" s="89"/>
      <c r="M51" s="90">
        <f t="shared" si="8"/>
        <v>8.1</v>
      </c>
      <c r="N51" s="88">
        <v>6.1</v>
      </c>
      <c r="O51" s="88"/>
      <c r="P51" s="89">
        <v>2</v>
      </c>
      <c r="Q51" s="90">
        <f t="shared" si="9"/>
        <v>0</v>
      </c>
      <c r="R51" s="88"/>
      <c r="S51" s="88"/>
      <c r="T51" s="89"/>
      <c r="U51" s="90">
        <f t="shared" si="10"/>
        <v>0</v>
      </c>
      <c r="V51" s="88"/>
      <c r="W51" s="88"/>
      <c r="X51" s="89"/>
    </row>
    <row r="52" spans="1:26" s="18" customFormat="1" ht="15.75" customHeight="1" x14ac:dyDescent="0.2">
      <c r="A52" s="337"/>
      <c r="B52" s="338"/>
      <c r="C52" s="339"/>
      <c r="D52" s="377"/>
      <c r="E52" s="300" t="s">
        <v>41</v>
      </c>
      <c r="F52" s="484"/>
      <c r="G52" s="484"/>
      <c r="H52" s="485"/>
      <c r="I52" s="483"/>
      <c r="J52" s="88"/>
      <c r="K52" s="88"/>
      <c r="L52" s="89"/>
      <c r="M52" s="31">
        <f t="shared" si="8"/>
        <v>40</v>
      </c>
      <c r="N52" s="52"/>
      <c r="O52" s="28"/>
      <c r="P52" s="29">
        <v>40</v>
      </c>
      <c r="Q52" s="31">
        <f t="shared" si="9"/>
        <v>0</v>
      </c>
      <c r="R52" s="52"/>
      <c r="S52" s="28"/>
      <c r="T52" s="29"/>
      <c r="U52" s="31">
        <f t="shared" si="10"/>
        <v>0</v>
      </c>
      <c r="V52" s="52"/>
      <c r="W52" s="28"/>
      <c r="X52" s="29"/>
    </row>
    <row r="53" spans="1:26" s="18" customFormat="1" ht="15.75" customHeight="1" thickBot="1" x14ac:dyDescent="0.25">
      <c r="A53" s="337"/>
      <c r="B53" s="338"/>
      <c r="C53" s="339"/>
      <c r="D53" s="377"/>
      <c r="E53" s="300" t="s">
        <v>44</v>
      </c>
      <c r="F53" s="484"/>
      <c r="G53" s="484"/>
      <c r="H53" s="485"/>
      <c r="I53" s="483"/>
      <c r="J53" s="91"/>
      <c r="K53" s="88"/>
      <c r="L53" s="89"/>
      <c r="M53" s="31">
        <f t="shared" ref="M53" si="11">N53+P53</f>
        <v>2</v>
      </c>
      <c r="N53" s="52">
        <f>2</f>
        <v>2</v>
      </c>
      <c r="O53" s="28"/>
      <c r="P53" s="29"/>
      <c r="Q53" s="31">
        <f t="shared" ref="Q53:Q54" si="12">R53+T53</f>
        <v>0</v>
      </c>
      <c r="R53" s="52"/>
      <c r="S53" s="28"/>
      <c r="T53" s="29"/>
      <c r="U53" s="31">
        <f t="shared" ref="U53:U54" si="13">V53+X53</f>
        <v>0</v>
      </c>
      <c r="V53" s="52"/>
      <c r="W53" s="28"/>
      <c r="X53" s="29"/>
    </row>
    <row r="54" spans="1:26" s="18" customFormat="1" ht="21.75" customHeight="1" thickBot="1" x14ac:dyDescent="0.25">
      <c r="A54" s="351"/>
      <c r="B54" s="353"/>
      <c r="C54" s="376"/>
      <c r="D54" s="378"/>
      <c r="E54" s="300"/>
      <c r="F54" s="362" t="s">
        <v>31</v>
      </c>
      <c r="G54" s="362"/>
      <c r="H54" s="363"/>
      <c r="I54" s="40"/>
      <c r="J54" s="41"/>
      <c r="K54" s="41">
        <f>SUM(K52:K52)</f>
        <v>0</v>
      </c>
      <c r="L54" s="42"/>
      <c r="M54" s="40">
        <f>N54+P54</f>
        <v>193</v>
      </c>
      <c r="N54" s="41">
        <f>N46+N47+N48+N49+N50+N51+N52+N53</f>
        <v>113.1</v>
      </c>
      <c r="O54" s="41">
        <f>O46+O47+O48+O50+O51+O52+O49+O53</f>
        <v>0</v>
      </c>
      <c r="P54" s="42">
        <f>P46+P53+P48+P47+P49+P50+P51+P52</f>
        <v>79.900000000000006</v>
      </c>
      <c r="Q54" s="40">
        <f t="shared" si="12"/>
        <v>150</v>
      </c>
      <c r="R54" s="41">
        <f t="shared" ref="R54" si="14">R46+R47+R48+R49+R50+R51+R52+R53</f>
        <v>150</v>
      </c>
      <c r="S54" s="41">
        <f t="shared" ref="S54" si="15">S46+S47+S48+S50+S51+S52+S49+S53</f>
        <v>0</v>
      </c>
      <c r="T54" s="42">
        <f t="shared" ref="T54" si="16">T46+T53+T48+T47+T49+T50+T51+T52</f>
        <v>0</v>
      </c>
      <c r="U54" s="40">
        <f t="shared" si="13"/>
        <v>150</v>
      </c>
      <c r="V54" s="41">
        <f t="shared" ref="V54" si="17">V46+V47+V48+V49+V50+V51+V52+V53</f>
        <v>150</v>
      </c>
      <c r="W54" s="41">
        <f t="shared" ref="W54" si="18">W46+W47+W48+W50+W51+W52+W49+W53</f>
        <v>0</v>
      </c>
      <c r="X54" s="42">
        <f t="shared" ref="X54" si="19">X46+X53+X48+X47+X49+X50+X51+X52</f>
        <v>0</v>
      </c>
    </row>
    <row r="55" spans="1:26" s="18" customFormat="1" ht="17.25" customHeight="1" thickBot="1" x14ac:dyDescent="0.25">
      <c r="A55" s="92">
        <v>1</v>
      </c>
      <c r="B55" s="93">
        <v>1</v>
      </c>
      <c r="C55" s="367" t="s">
        <v>61</v>
      </c>
      <c r="D55" s="368"/>
      <c r="E55" s="423"/>
      <c r="F55" s="368"/>
      <c r="G55" s="368"/>
      <c r="H55" s="369"/>
      <c r="I55" s="94">
        <f>I15+I18+I22+I26+I30+I34+I38+I43+I45+I54</f>
        <v>3269.3</v>
      </c>
      <c r="J55" s="95">
        <f>J15+J18+J22+J26+J30+J34+J38+J43+J45+J54</f>
        <v>3092.8</v>
      </c>
      <c r="K55" s="95">
        <f>K15+K18+K22+K26+K30+K34+K38+K43+K45+K54</f>
        <v>2428.9</v>
      </c>
      <c r="L55" s="95">
        <f>L30+L34+L43</f>
        <v>176.5</v>
      </c>
      <c r="M55" s="94">
        <f t="shared" ref="M55:S55" si="20">M15+M18+M22+M26+M30+M34+M38+M43+M45+M54</f>
        <v>3964.7</v>
      </c>
      <c r="N55" s="95">
        <f t="shared" si="20"/>
        <v>3803.3</v>
      </c>
      <c r="O55" s="95">
        <f t="shared" si="20"/>
        <v>2870.6</v>
      </c>
      <c r="P55" s="95">
        <f>P15+P18+P22+P26+P30+P34+P38+P43+P45+P54</f>
        <v>161.4</v>
      </c>
      <c r="Q55" s="94">
        <f t="shared" si="20"/>
        <v>3869.9</v>
      </c>
      <c r="R55" s="95">
        <f t="shared" si="20"/>
        <v>3869.9</v>
      </c>
      <c r="S55" s="95">
        <f t="shared" si="20"/>
        <v>2870.6</v>
      </c>
      <c r="T55" s="95">
        <f>SUM(T43,T38,T34,T30,T26,T22,T15,T18,)</f>
        <v>0</v>
      </c>
      <c r="U55" s="94">
        <f>U15+U18+U22+U26+U30+U34+U38+U43+U45+U54</f>
        <v>3879.7</v>
      </c>
      <c r="V55" s="95">
        <f>V15+V18+V22+V26+V30+V34+V38+V43+V45+V54</f>
        <v>3879.7</v>
      </c>
      <c r="W55" s="95">
        <f>W15+W18+W22+W26+W30+W34+W38+W43+W45+W54</f>
        <v>2870.6</v>
      </c>
      <c r="X55" s="96">
        <f>X15+X18+X22+X26+X30+X34+X38+X43+X45+X54</f>
        <v>0</v>
      </c>
    </row>
    <row r="56" spans="1:26" s="24" customFormat="1" ht="18.75" customHeight="1" thickBot="1" x14ac:dyDescent="0.35">
      <c r="A56" s="23">
        <v>1</v>
      </c>
      <c r="B56" s="97">
        <v>2</v>
      </c>
      <c r="C56" s="370" t="s">
        <v>62</v>
      </c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2"/>
      <c r="V56" s="372"/>
      <c r="W56" s="372"/>
      <c r="X56" s="373"/>
      <c r="Z56" s="18"/>
    </row>
    <row r="57" spans="1:26" s="18" customFormat="1" ht="36.75" customHeight="1" thickBot="1" x14ac:dyDescent="0.25">
      <c r="A57" s="350">
        <v>1</v>
      </c>
      <c r="B57" s="352">
        <v>2</v>
      </c>
      <c r="C57" s="347">
        <v>1</v>
      </c>
      <c r="D57" s="355" t="s">
        <v>63</v>
      </c>
      <c r="E57" s="374" t="s">
        <v>58</v>
      </c>
      <c r="F57" s="98" t="s">
        <v>64</v>
      </c>
      <c r="G57" s="99" t="s">
        <v>65</v>
      </c>
      <c r="H57" s="100" t="s">
        <v>28</v>
      </c>
      <c r="I57" s="101">
        <f>J57+L57</f>
        <v>7.8</v>
      </c>
      <c r="J57" s="102">
        <f>11-3.2</f>
        <v>7.8</v>
      </c>
      <c r="K57" s="102">
        <v>0</v>
      </c>
      <c r="L57" s="50">
        <v>0</v>
      </c>
      <c r="M57" s="101">
        <v>20</v>
      </c>
      <c r="N57" s="102">
        <v>20</v>
      </c>
      <c r="O57" s="102">
        <v>0</v>
      </c>
      <c r="P57" s="50">
        <v>0</v>
      </c>
      <c r="Q57" s="101">
        <v>20</v>
      </c>
      <c r="R57" s="102">
        <v>20</v>
      </c>
      <c r="S57" s="102">
        <v>0</v>
      </c>
      <c r="T57" s="50">
        <v>0</v>
      </c>
      <c r="U57" s="101">
        <v>20</v>
      </c>
      <c r="V57" s="102">
        <v>20</v>
      </c>
      <c r="W57" s="102">
        <v>0</v>
      </c>
      <c r="X57" s="50">
        <v>0</v>
      </c>
    </row>
    <row r="58" spans="1:26" s="18" customFormat="1" ht="63" customHeight="1" thickBot="1" x14ac:dyDescent="0.25">
      <c r="A58" s="337"/>
      <c r="B58" s="338"/>
      <c r="C58" s="339"/>
      <c r="D58" s="341"/>
      <c r="E58" s="375"/>
      <c r="F58" s="348" t="s">
        <v>31</v>
      </c>
      <c r="G58" s="349"/>
      <c r="H58" s="354"/>
      <c r="I58" s="40">
        <f>SUM(J58,L58)</f>
        <v>7.8</v>
      </c>
      <c r="J58" s="103">
        <f>SUM(J57)</f>
        <v>7.8</v>
      </c>
      <c r="K58" s="103">
        <f>SUM(K57)</f>
        <v>0</v>
      </c>
      <c r="L58" s="104">
        <f>SUM(L57)</f>
        <v>0</v>
      </c>
      <c r="M58" s="40">
        <f>SUM(N58,P58)</f>
        <v>20</v>
      </c>
      <c r="N58" s="103">
        <f>SUM(N57)</f>
        <v>20</v>
      </c>
      <c r="O58" s="103">
        <f>SUM(O57)</f>
        <v>0</v>
      </c>
      <c r="P58" s="104">
        <f>SUM(P57)</f>
        <v>0</v>
      </c>
      <c r="Q58" s="40">
        <f>SUM(R58,T58)</f>
        <v>20</v>
      </c>
      <c r="R58" s="103">
        <f>SUM(R57)</f>
        <v>20</v>
      </c>
      <c r="S58" s="103">
        <f>SUM(S57)</f>
        <v>0</v>
      </c>
      <c r="T58" s="104">
        <f>SUM(T57)</f>
        <v>0</v>
      </c>
      <c r="U58" s="40">
        <f>SUM(V58,X58)</f>
        <v>20</v>
      </c>
      <c r="V58" s="103">
        <f>SUM(V57)</f>
        <v>20</v>
      </c>
      <c r="W58" s="103">
        <f>SUM(W57)</f>
        <v>0</v>
      </c>
      <c r="X58" s="104">
        <f>SUM(X57)</f>
        <v>0</v>
      </c>
    </row>
    <row r="59" spans="1:26" s="18" customFormat="1" ht="18.75" customHeight="1" x14ac:dyDescent="0.2">
      <c r="A59" s="350">
        <v>1</v>
      </c>
      <c r="B59" s="380">
        <v>2</v>
      </c>
      <c r="C59" s="347">
        <v>2</v>
      </c>
      <c r="D59" s="364" t="s">
        <v>66</v>
      </c>
      <c r="E59" s="356" t="s">
        <v>60</v>
      </c>
      <c r="F59" s="390" t="s">
        <v>67</v>
      </c>
      <c r="G59" s="390" t="s">
        <v>68</v>
      </c>
      <c r="H59" s="26" t="s">
        <v>28</v>
      </c>
      <c r="I59" s="105">
        <v>23.3</v>
      </c>
      <c r="J59" s="105">
        <v>23.3</v>
      </c>
      <c r="K59" s="106">
        <v>12.9</v>
      </c>
      <c r="L59" s="26"/>
      <c r="M59" s="105">
        <v>0.4</v>
      </c>
      <c r="N59" s="105">
        <v>0.4</v>
      </c>
      <c r="O59" s="106"/>
      <c r="P59" s="107"/>
      <c r="Q59" s="105"/>
      <c r="R59" s="105"/>
      <c r="S59" s="106"/>
      <c r="T59" s="48"/>
      <c r="U59" s="105"/>
      <c r="V59" s="105"/>
      <c r="W59" s="106"/>
      <c r="X59" s="48"/>
    </row>
    <row r="60" spans="1:26" s="18" customFormat="1" ht="18.75" customHeight="1" x14ac:dyDescent="0.2">
      <c r="A60" s="337"/>
      <c r="B60" s="387"/>
      <c r="C60" s="339"/>
      <c r="D60" s="365"/>
      <c r="E60" s="343"/>
      <c r="F60" s="339"/>
      <c r="G60" s="339"/>
      <c r="H60" s="108" t="s">
        <v>69</v>
      </c>
      <c r="I60" s="109">
        <v>0.8</v>
      </c>
      <c r="J60" s="110">
        <v>0.8</v>
      </c>
      <c r="K60" s="111">
        <v>0.3</v>
      </c>
      <c r="L60" s="112"/>
      <c r="M60" s="109"/>
      <c r="N60" s="110"/>
      <c r="O60" s="111"/>
      <c r="P60" s="113"/>
      <c r="Q60" s="109"/>
      <c r="R60" s="110"/>
      <c r="S60" s="111"/>
      <c r="T60" s="29"/>
      <c r="U60" s="109"/>
      <c r="V60" s="110"/>
      <c r="W60" s="111"/>
      <c r="X60" s="29"/>
    </row>
    <row r="61" spans="1:26" s="18" customFormat="1" ht="18.75" customHeight="1" thickBot="1" x14ac:dyDescent="0.25">
      <c r="A61" s="337"/>
      <c r="B61" s="387"/>
      <c r="C61" s="339"/>
      <c r="D61" s="365"/>
      <c r="E61" s="343"/>
      <c r="F61" s="376"/>
      <c r="G61" s="376"/>
      <c r="H61" s="114" t="s">
        <v>70</v>
      </c>
      <c r="I61" s="115">
        <v>28</v>
      </c>
      <c r="J61" s="116">
        <v>28</v>
      </c>
      <c r="K61" s="117">
        <v>19.100000000000001</v>
      </c>
      <c r="L61" s="118"/>
      <c r="M61" s="119"/>
      <c r="N61" s="120"/>
      <c r="O61" s="117"/>
      <c r="P61" s="113"/>
      <c r="Q61" s="119"/>
      <c r="R61" s="120"/>
      <c r="S61" s="117"/>
      <c r="T61" s="29"/>
      <c r="U61" s="119"/>
      <c r="V61" s="120"/>
      <c r="W61" s="117"/>
      <c r="X61" s="29"/>
    </row>
    <row r="62" spans="1:26" s="18" customFormat="1" ht="17.25" customHeight="1" thickBot="1" x14ac:dyDescent="0.25">
      <c r="A62" s="351"/>
      <c r="B62" s="381"/>
      <c r="C62" s="340"/>
      <c r="D62" s="388"/>
      <c r="E62" s="389"/>
      <c r="F62" s="384" t="s">
        <v>31</v>
      </c>
      <c r="G62" s="493"/>
      <c r="H62" s="494"/>
      <c r="I62" s="121">
        <f>I59+I60+I61</f>
        <v>52.1</v>
      </c>
      <c r="J62" s="122">
        <f>SUM(J61+J59+J60)</f>
        <v>52.099999999999994</v>
      </c>
      <c r="K62" s="122">
        <f>K59+K60+K61</f>
        <v>32.300000000000004</v>
      </c>
      <c r="L62" s="123"/>
      <c r="M62" s="122">
        <f>M59+M60+M61</f>
        <v>0.4</v>
      </c>
      <c r="N62" s="122">
        <f>N59+N60+N61</f>
        <v>0.4</v>
      </c>
      <c r="O62" s="122">
        <f>O59+O60+O61</f>
        <v>0</v>
      </c>
      <c r="P62" s="123">
        <f>P61</f>
        <v>0</v>
      </c>
      <c r="Q62" s="124">
        <f>SUM(Q59+Q60+Q61)</f>
        <v>0</v>
      </c>
      <c r="R62" s="122">
        <f>SUM(R59+R60+R61)</f>
        <v>0</v>
      </c>
      <c r="S62" s="122">
        <f>S59+S60+S61</f>
        <v>0</v>
      </c>
      <c r="T62" s="123"/>
      <c r="U62" s="122">
        <f>SUM(U59+U60+U61)</f>
        <v>0</v>
      </c>
      <c r="V62" s="122">
        <f>SUM(V59+V60+V61)</f>
        <v>0</v>
      </c>
      <c r="W62" s="122">
        <f>W59+W60+W61</f>
        <v>0</v>
      </c>
      <c r="X62" s="123"/>
    </row>
    <row r="63" spans="1:26" s="18" customFormat="1" ht="18" customHeight="1" x14ac:dyDescent="0.2">
      <c r="A63" s="350" t="s">
        <v>71</v>
      </c>
      <c r="B63" s="380" t="s">
        <v>72</v>
      </c>
      <c r="C63" s="347" t="s">
        <v>73</v>
      </c>
      <c r="D63" s="487" t="s">
        <v>74</v>
      </c>
      <c r="E63" s="301" t="s">
        <v>58</v>
      </c>
      <c r="F63" s="491" t="s">
        <v>67</v>
      </c>
      <c r="G63" s="490" t="s">
        <v>75</v>
      </c>
      <c r="H63" s="498" t="s">
        <v>28</v>
      </c>
      <c r="I63" s="499"/>
      <c r="J63" s="105"/>
      <c r="K63" s="106"/>
      <c r="L63" s="26"/>
      <c r="M63" s="503">
        <f>N63+P63</f>
        <v>67.7</v>
      </c>
      <c r="N63" s="486">
        <f>70-2.3</f>
        <v>67.7</v>
      </c>
      <c r="O63" s="106"/>
      <c r="P63" s="302"/>
      <c r="Q63" s="486">
        <f>R63+T63</f>
        <v>70</v>
      </c>
      <c r="R63" s="486">
        <v>70</v>
      </c>
      <c r="S63" s="106"/>
      <c r="T63" s="302"/>
      <c r="U63" s="486">
        <f>V63+X63</f>
        <v>70</v>
      </c>
      <c r="V63" s="486">
        <v>70</v>
      </c>
      <c r="W63" s="106"/>
      <c r="X63" s="302"/>
    </row>
    <row r="64" spans="1:26" s="18" customFormat="1" ht="18" customHeight="1" thickBot="1" x14ac:dyDescent="0.25">
      <c r="A64" s="337"/>
      <c r="B64" s="387"/>
      <c r="C64" s="339"/>
      <c r="D64" s="488"/>
      <c r="E64" s="504" t="s">
        <v>50</v>
      </c>
      <c r="F64" s="492"/>
      <c r="G64" s="497"/>
      <c r="H64" s="500"/>
      <c r="I64" s="501"/>
      <c r="J64" s="110"/>
      <c r="K64" s="299"/>
      <c r="L64" s="112"/>
      <c r="M64" s="502">
        <f>N64+P64</f>
        <v>2.2999999999999998</v>
      </c>
      <c r="N64" s="502">
        <f>2.3</f>
        <v>2.2999999999999998</v>
      </c>
      <c r="O64" s="298"/>
      <c r="P64" s="113"/>
      <c r="Q64" s="502">
        <f t="shared" ref="Q64" si="21">R64+T64</f>
        <v>0</v>
      </c>
      <c r="R64" s="502"/>
      <c r="S64" s="298"/>
      <c r="T64" s="113"/>
      <c r="U64" s="502">
        <f t="shared" ref="U64" si="22">V64+X64</f>
        <v>0</v>
      </c>
      <c r="V64" s="502"/>
      <c r="W64" s="298"/>
      <c r="X64" s="113"/>
    </row>
    <row r="65" spans="1:30" s="18" customFormat="1" ht="29.25" customHeight="1" thickBot="1" x14ac:dyDescent="0.25">
      <c r="A65" s="351"/>
      <c r="B65" s="381"/>
      <c r="C65" s="340"/>
      <c r="D65" s="489"/>
      <c r="E65" s="300"/>
      <c r="F65" s="385" t="s">
        <v>31</v>
      </c>
      <c r="G65" s="495"/>
      <c r="H65" s="496"/>
      <c r="I65" s="127"/>
      <c r="J65" s="128"/>
      <c r="K65" s="122"/>
      <c r="L65" s="123"/>
      <c r="M65" s="129">
        <f>N65+P65</f>
        <v>70</v>
      </c>
      <c r="N65" s="122">
        <f>N63+N64</f>
        <v>70</v>
      </c>
      <c r="O65" s="122">
        <f t="shared" ref="O65:P65" si="23">O63+O64</f>
        <v>0</v>
      </c>
      <c r="P65" s="122">
        <f t="shared" si="23"/>
        <v>0</v>
      </c>
      <c r="Q65" s="130">
        <f>R65+T65</f>
        <v>70</v>
      </c>
      <c r="R65" s="122">
        <f>R63+R64</f>
        <v>70</v>
      </c>
      <c r="S65" s="122">
        <f t="shared" ref="S65:T65" si="24">S63+S64</f>
        <v>0</v>
      </c>
      <c r="T65" s="122">
        <f t="shared" si="24"/>
        <v>0</v>
      </c>
      <c r="U65" s="124">
        <f>V65+X65</f>
        <v>70</v>
      </c>
      <c r="V65" s="122">
        <f>V63+V64</f>
        <v>70</v>
      </c>
      <c r="W65" s="122"/>
      <c r="X65" s="123"/>
    </row>
    <row r="66" spans="1:30" s="18" customFormat="1" ht="15.75" customHeight="1" thickBot="1" x14ac:dyDescent="0.25">
      <c r="A66" s="131">
        <v>1</v>
      </c>
      <c r="B66" s="132">
        <v>2</v>
      </c>
      <c r="C66" s="391" t="s">
        <v>61</v>
      </c>
      <c r="D66" s="391"/>
      <c r="E66" s="392"/>
      <c r="F66" s="392"/>
      <c r="G66" s="392"/>
      <c r="H66" s="393"/>
      <c r="I66" s="133">
        <f>J66+L66</f>
        <v>59.899999999999991</v>
      </c>
      <c r="J66" s="134">
        <f>J62+J58</f>
        <v>59.899999999999991</v>
      </c>
      <c r="K66" s="135">
        <f>K62+K58</f>
        <v>32.300000000000004</v>
      </c>
      <c r="L66" s="135">
        <f t="shared" ref="L66" si="25">L62+L58</f>
        <v>0</v>
      </c>
      <c r="M66" s="136">
        <f>M58+M62+M65</f>
        <v>90.4</v>
      </c>
      <c r="N66" s="137">
        <f>N58+N65+N62</f>
        <v>90.4</v>
      </c>
      <c r="O66" s="135">
        <f t="shared" ref="O66:P66" si="26">O62+O58</f>
        <v>0</v>
      </c>
      <c r="P66" s="135">
        <f t="shared" si="26"/>
        <v>0</v>
      </c>
      <c r="Q66" s="136">
        <f>Q58+Q65</f>
        <v>90</v>
      </c>
      <c r="R66" s="137">
        <f>R58+R65</f>
        <v>90</v>
      </c>
      <c r="S66" s="137">
        <f t="shared" ref="S66:T66" si="27">S62+S58</f>
        <v>0</v>
      </c>
      <c r="T66" s="138">
        <f t="shared" si="27"/>
        <v>0</v>
      </c>
      <c r="U66" s="136">
        <f>U58+U62+U65</f>
        <v>90</v>
      </c>
      <c r="V66" s="137">
        <f>V58+V62+V65</f>
        <v>90</v>
      </c>
      <c r="W66" s="137">
        <f t="shared" ref="W66:X66" si="28">W62+W58</f>
        <v>0</v>
      </c>
      <c r="X66" s="139">
        <f t="shared" si="28"/>
        <v>0</v>
      </c>
    </row>
    <row r="67" spans="1:30" s="18" customFormat="1" ht="13.5" customHeight="1" thickBot="1" x14ac:dyDescent="0.25">
      <c r="A67" s="140">
        <v>1</v>
      </c>
      <c r="B67" s="394" t="s">
        <v>76</v>
      </c>
      <c r="C67" s="395"/>
      <c r="D67" s="395"/>
      <c r="E67" s="395"/>
      <c r="F67" s="395"/>
      <c r="G67" s="395"/>
      <c r="H67" s="396"/>
      <c r="I67" s="141">
        <f t="shared" ref="I67:O67" si="29">I55+I66</f>
        <v>3329.2000000000003</v>
      </c>
      <c r="J67" s="142">
        <f t="shared" si="29"/>
        <v>3152.7000000000003</v>
      </c>
      <c r="K67" s="143">
        <f t="shared" si="29"/>
        <v>2461.2000000000003</v>
      </c>
      <c r="L67" s="143">
        <f t="shared" si="29"/>
        <v>176.5</v>
      </c>
      <c r="M67" s="144">
        <f t="shared" si="29"/>
        <v>4055.1</v>
      </c>
      <c r="N67" s="143">
        <f t="shared" si="29"/>
        <v>3893.7000000000003</v>
      </c>
      <c r="O67" s="143">
        <f t="shared" si="29"/>
        <v>2870.6</v>
      </c>
      <c r="P67" s="145">
        <f>SUM(P66,P55)</f>
        <v>161.4</v>
      </c>
      <c r="Q67" s="144">
        <f>Q55+Q66</f>
        <v>3959.9</v>
      </c>
      <c r="R67" s="143">
        <f>SUM(R66,R55)</f>
        <v>3959.9</v>
      </c>
      <c r="S67" s="143">
        <f>SUM(S66,S55)</f>
        <v>2870.6</v>
      </c>
      <c r="T67" s="145">
        <f>SUM(T66,T55)</f>
        <v>0</v>
      </c>
      <c r="U67" s="144">
        <f>U55+U66</f>
        <v>3969.7</v>
      </c>
      <c r="V67" s="143">
        <f>SUM(V66,V55)</f>
        <v>3969.7</v>
      </c>
      <c r="W67" s="143">
        <f>SUM(W66,W55)</f>
        <v>2870.6</v>
      </c>
      <c r="X67" s="145">
        <f>SUM(X66,X55)</f>
        <v>0</v>
      </c>
    </row>
    <row r="68" spans="1:30" s="18" customFormat="1" ht="15.75" customHeight="1" thickBot="1" x14ac:dyDescent="0.35">
      <c r="A68" s="146">
        <v>2</v>
      </c>
      <c r="B68" s="397" t="s">
        <v>77</v>
      </c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72"/>
      <c r="V68" s="372"/>
      <c r="W68" s="372"/>
      <c r="X68" s="373"/>
    </row>
    <row r="69" spans="1:30" s="18" customFormat="1" ht="15.75" customHeight="1" thickBot="1" x14ac:dyDescent="0.35">
      <c r="A69" s="23">
        <v>2</v>
      </c>
      <c r="B69" s="97">
        <v>1</v>
      </c>
      <c r="C69" s="370" t="s">
        <v>78</v>
      </c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2"/>
      <c r="V69" s="372"/>
      <c r="W69" s="372"/>
      <c r="X69" s="373"/>
    </row>
    <row r="70" spans="1:30" s="18" customFormat="1" ht="21" customHeight="1" x14ac:dyDescent="0.2">
      <c r="A70" s="350">
        <v>2</v>
      </c>
      <c r="B70" s="352">
        <v>1</v>
      </c>
      <c r="C70" s="347">
        <v>1</v>
      </c>
      <c r="D70" s="355" t="s">
        <v>79</v>
      </c>
      <c r="E70" s="399">
        <v>9</v>
      </c>
      <c r="F70" s="347" t="s">
        <v>26</v>
      </c>
      <c r="G70" s="401" t="s">
        <v>80</v>
      </c>
      <c r="H70" s="26" t="s">
        <v>28</v>
      </c>
      <c r="I70" s="147">
        <v>38.1</v>
      </c>
      <c r="J70" s="148"/>
      <c r="K70" s="47"/>
      <c r="L70" s="48">
        <v>38.1</v>
      </c>
      <c r="M70" s="149"/>
      <c r="N70" s="148"/>
      <c r="O70" s="47"/>
      <c r="P70" s="48"/>
      <c r="Q70" s="149"/>
      <c r="R70" s="148"/>
      <c r="S70" s="47"/>
      <c r="T70" s="48"/>
      <c r="U70" s="149"/>
      <c r="V70" s="148"/>
      <c r="W70" s="47"/>
      <c r="X70" s="48"/>
    </row>
    <row r="71" spans="1:30" s="18" customFormat="1" ht="20.25" customHeight="1" x14ac:dyDescent="0.2">
      <c r="A71" s="337"/>
      <c r="B71" s="338"/>
      <c r="C71" s="339"/>
      <c r="D71" s="341"/>
      <c r="E71" s="400"/>
      <c r="F71" s="339"/>
      <c r="G71" s="402"/>
      <c r="H71" s="108" t="s">
        <v>69</v>
      </c>
      <c r="I71" s="150">
        <f t="shared" ref="I71:I73" si="30">J71+L71</f>
        <v>7.7</v>
      </c>
      <c r="J71" s="151"/>
      <c r="K71" s="28"/>
      <c r="L71" s="29">
        <v>7.7</v>
      </c>
      <c r="M71" s="152"/>
      <c r="N71" s="151"/>
      <c r="O71" s="28"/>
      <c r="P71" s="29"/>
      <c r="Q71" s="152"/>
      <c r="R71" s="151"/>
      <c r="S71" s="28"/>
      <c r="T71" s="29"/>
      <c r="U71" s="152"/>
      <c r="V71" s="151"/>
      <c r="W71" s="28"/>
      <c r="X71" s="29"/>
    </row>
    <row r="72" spans="1:30" s="18" customFormat="1" ht="17.25" customHeight="1" x14ac:dyDescent="0.2">
      <c r="A72" s="337"/>
      <c r="B72" s="338"/>
      <c r="C72" s="339"/>
      <c r="D72" s="341"/>
      <c r="E72" s="400"/>
      <c r="F72" s="340"/>
      <c r="G72" s="402"/>
      <c r="H72" s="108" t="s">
        <v>70</v>
      </c>
      <c r="I72" s="33">
        <f t="shared" si="30"/>
        <v>43.4</v>
      </c>
      <c r="J72" s="151"/>
      <c r="K72" s="28"/>
      <c r="L72" s="29">
        <v>43.4</v>
      </c>
      <c r="M72" s="152"/>
      <c r="N72" s="151"/>
      <c r="O72" s="28"/>
      <c r="P72" s="29"/>
      <c r="Q72" s="152"/>
      <c r="R72" s="151"/>
      <c r="S72" s="28"/>
      <c r="T72" s="29"/>
      <c r="U72" s="152"/>
      <c r="V72" s="151"/>
      <c r="W72" s="28"/>
      <c r="X72" s="29"/>
    </row>
    <row r="73" spans="1:30" s="18" customFormat="1" ht="19.5" customHeight="1" thickBot="1" x14ac:dyDescent="0.25">
      <c r="A73" s="337"/>
      <c r="B73" s="338"/>
      <c r="C73" s="339"/>
      <c r="D73" s="341"/>
      <c r="E73" s="153" t="s">
        <v>35</v>
      </c>
      <c r="F73" s="154" t="s">
        <v>26</v>
      </c>
      <c r="G73" s="402"/>
      <c r="H73" s="44" t="s">
        <v>28</v>
      </c>
      <c r="I73" s="126">
        <f t="shared" si="30"/>
        <v>40</v>
      </c>
      <c r="J73" s="155">
        <v>20</v>
      </c>
      <c r="K73" s="156"/>
      <c r="L73" s="157">
        <v>20</v>
      </c>
      <c r="M73" s="158"/>
      <c r="N73" s="159"/>
      <c r="O73" s="160"/>
      <c r="P73" s="161"/>
      <c r="Q73" s="158"/>
      <c r="R73" s="159"/>
      <c r="S73" s="160"/>
      <c r="T73" s="161"/>
      <c r="U73" s="158"/>
      <c r="V73" s="159"/>
      <c r="W73" s="160"/>
      <c r="X73" s="161"/>
    </row>
    <row r="74" spans="1:30" s="18" customFormat="1" ht="16.350000000000001" customHeight="1" thickBot="1" x14ac:dyDescent="0.25">
      <c r="A74" s="337"/>
      <c r="B74" s="338"/>
      <c r="C74" s="339"/>
      <c r="D74" s="341"/>
      <c r="E74" s="162"/>
      <c r="F74" s="348" t="s">
        <v>31</v>
      </c>
      <c r="G74" s="349"/>
      <c r="H74" s="354"/>
      <c r="I74" s="40">
        <f>I70+I71+I72+I73</f>
        <v>129.19999999999999</v>
      </c>
      <c r="J74" s="103">
        <f>J70+J71+J72+J73</f>
        <v>20</v>
      </c>
      <c r="K74" s="103"/>
      <c r="L74" s="104">
        <f>L70+L71+L72+L73</f>
        <v>109.2</v>
      </c>
      <c r="M74" s="40">
        <f t="shared" ref="M74" si="31">SUM(N74,P74)</f>
        <v>0</v>
      </c>
      <c r="N74" s="103">
        <f>SUM(N70:N72)</f>
        <v>0</v>
      </c>
      <c r="O74" s="103">
        <f>SUM(O70:O72)</f>
        <v>0</v>
      </c>
      <c r="P74" s="104">
        <f>SUM(P70:P72)</f>
        <v>0</v>
      </c>
      <c r="Q74" s="40">
        <f t="shared" ref="Q74" si="32">SUM(R74,T74)</f>
        <v>0</v>
      </c>
      <c r="R74" s="103">
        <f>SUM(R70:R72)</f>
        <v>0</v>
      </c>
      <c r="S74" s="103">
        <f>SUM(S70:S72)</f>
        <v>0</v>
      </c>
      <c r="T74" s="104">
        <f>SUM(T70:T72)</f>
        <v>0</v>
      </c>
      <c r="U74" s="40">
        <f t="shared" ref="U74" si="33">SUM(V74,X74)</f>
        <v>0</v>
      </c>
      <c r="V74" s="103">
        <f>SUM(V70:V72)</f>
        <v>0</v>
      </c>
      <c r="W74" s="103">
        <f>SUM(W70:W72)</f>
        <v>0</v>
      </c>
      <c r="X74" s="104">
        <f>SUM(X70:X72)</f>
        <v>0</v>
      </c>
    </row>
    <row r="75" spans="1:30" s="18" customFormat="1" ht="18.75" customHeight="1" x14ac:dyDescent="0.2">
      <c r="A75" s="350">
        <v>2</v>
      </c>
      <c r="B75" s="352">
        <v>1</v>
      </c>
      <c r="C75" s="347">
        <v>2</v>
      </c>
      <c r="D75" s="382" t="s">
        <v>81</v>
      </c>
      <c r="E75" s="399">
        <v>9</v>
      </c>
      <c r="F75" s="404" t="s">
        <v>26</v>
      </c>
      <c r="G75" s="404" t="s">
        <v>82</v>
      </c>
      <c r="H75" s="163" t="s">
        <v>28</v>
      </c>
      <c r="I75" s="86">
        <f t="shared" ref="I75" si="34">J75+L75</f>
        <v>0</v>
      </c>
      <c r="J75" s="85"/>
      <c r="K75" s="85"/>
      <c r="L75" s="60">
        <f>245-245</f>
        <v>0</v>
      </c>
      <c r="M75" s="86" t="s">
        <v>83</v>
      </c>
      <c r="N75" s="47"/>
      <c r="O75" s="47"/>
      <c r="P75" s="48">
        <v>319.7</v>
      </c>
      <c r="Q75" s="27">
        <v>245</v>
      </c>
      <c r="R75" s="47"/>
      <c r="S75" s="47"/>
      <c r="T75" s="48">
        <v>245</v>
      </c>
      <c r="U75" s="27"/>
      <c r="V75" s="47"/>
      <c r="W75" s="47"/>
      <c r="X75" s="48"/>
      <c r="Z75" s="164"/>
      <c r="AC75" s="164"/>
      <c r="AD75" s="164"/>
    </row>
    <row r="76" spans="1:30" s="18" customFormat="1" ht="18.75" customHeight="1" x14ac:dyDescent="0.2">
      <c r="A76" s="337"/>
      <c r="B76" s="338"/>
      <c r="C76" s="339"/>
      <c r="D76" s="377"/>
      <c r="E76" s="400"/>
      <c r="F76" s="405"/>
      <c r="G76" s="405"/>
      <c r="H76" s="125" t="s">
        <v>84</v>
      </c>
      <c r="I76" s="165"/>
      <c r="J76" s="166"/>
      <c r="K76" s="91"/>
      <c r="L76" s="167"/>
      <c r="M76" s="168">
        <v>300</v>
      </c>
      <c r="N76" s="169"/>
      <c r="O76" s="169"/>
      <c r="P76" s="170">
        <v>300</v>
      </c>
      <c r="Q76" s="31"/>
      <c r="R76" s="28"/>
      <c r="S76" s="28"/>
      <c r="T76" s="29"/>
      <c r="U76" s="31"/>
      <c r="V76" s="28"/>
      <c r="W76" s="28"/>
      <c r="X76" s="29"/>
      <c r="Z76" s="164"/>
      <c r="AC76" s="164"/>
      <c r="AD76" s="164"/>
    </row>
    <row r="77" spans="1:30" s="18" customFormat="1" ht="18.75" customHeight="1" x14ac:dyDescent="0.2">
      <c r="A77" s="337"/>
      <c r="B77" s="338"/>
      <c r="C77" s="339"/>
      <c r="D77" s="377"/>
      <c r="E77" s="400"/>
      <c r="F77" s="405"/>
      <c r="G77" s="405"/>
      <c r="H77" s="125" t="s">
        <v>69</v>
      </c>
      <c r="I77" s="90"/>
      <c r="J77" s="166"/>
      <c r="K77" s="91"/>
      <c r="L77" s="167"/>
      <c r="M77" s="31">
        <v>20.399999999999999</v>
      </c>
      <c r="N77" s="28"/>
      <c r="O77" s="28"/>
      <c r="P77" s="29">
        <v>20.399999999999999</v>
      </c>
      <c r="Q77" s="31"/>
      <c r="R77" s="28"/>
      <c r="S77" s="28"/>
      <c r="T77" s="29"/>
      <c r="U77" s="31"/>
      <c r="V77" s="28"/>
      <c r="W77" s="28"/>
      <c r="X77" s="29"/>
      <c r="Z77" s="164"/>
      <c r="AC77" s="164"/>
      <c r="AD77" s="164"/>
    </row>
    <row r="78" spans="1:30" s="18" customFormat="1" ht="19.5" customHeight="1" x14ac:dyDescent="0.2">
      <c r="A78" s="337"/>
      <c r="B78" s="338"/>
      <c r="C78" s="339"/>
      <c r="D78" s="377"/>
      <c r="E78" s="400"/>
      <c r="F78" s="405"/>
      <c r="G78" s="405"/>
      <c r="H78" s="171" t="s">
        <v>70</v>
      </c>
      <c r="I78" s="90"/>
      <c r="J78" s="166"/>
      <c r="K78" s="91"/>
      <c r="L78" s="167"/>
      <c r="M78" s="31">
        <v>115.1</v>
      </c>
      <c r="N78" s="28"/>
      <c r="O78" s="28"/>
      <c r="P78" s="29">
        <v>115.1</v>
      </c>
      <c r="Q78" s="31"/>
      <c r="R78" s="28"/>
      <c r="S78" s="28"/>
      <c r="T78" s="29"/>
      <c r="U78" s="31"/>
      <c r="V78" s="28"/>
      <c r="W78" s="28"/>
      <c r="X78" s="29"/>
      <c r="Z78" s="164"/>
      <c r="AC78" s="164"/>
      <c r="AD78" s="164"/>
    </row>
    <row r="79" spans="1:30" s="18" customFormat="1" ht="19.5" customHeight="1" thickBot="1" x14ac:dyDescent="0.25">
      <c r="A79" s="337"/>
      <c r="B79" s="338"/>
      <c r="C79" s="339"/>
      <c r="D79" s="377"/>
      <c r="E79" s="403"/>
      <c r="F79" s="405"/>
      <c r="G79" s="405"/>
      <c r="H79" s="171" t="s">
        <v>85</v>
      </c>
      <c r="I79" s="90">
        <f>J79+L79</f>
        <v>0.80000000000001137</v>
      </c>
      <c r="J79" s="52"/>
      <c r="K79" s="28"/>
      <c r="L79" s="29">
        <f>245.8-245</f>
        <v>0.80000000000001137</v>
      </c>
      <c r="M79" s="31"/>
      <c r="N79" s="28"/>
      <c r="O79" s="28"/>
      <c r="P79" s="29"/>
      <c r="Q79" s="31"/>
      <c r="R79" s="28"/>
      <c r="S79" s="28"/>
      <c r="T79" s="29"/>
      <c r="U79" s="31"/>
      <c r="V79" s="28"/>
      <c r="W79" s="28"/>
      <c r="X79" s="29"/>
    </row>
    <row r="80" spans="1:30" s="18" customFormat="1" ht="13.5" customHeight="1" thickBot="1" x14ac:dyDescent="0.25">
      <c r="A80" s="351"/>
      <c r="B80" s="353"/>
      <c r="C80" s="340"/>
      <c r="D80" s="383"/>
      <c r="E80" s="172"/>
      <c r="F80" s="406" t="s">
        <v>31</v>
      </c>
      <c r="G80" s="407"/>
      <c r="H80" s="408"/>
      <c r="I80" s="40">
        <f t="shared" ref="I80:I83" si="35">J80+L80</f>
        <v>0.80000000000001137</v>
      </c>
      <c r="J80" s="103">
        <f>J78+J77+J75+J79</f>
        <v>0</v>
      </c>
      <c r="K80" s="103">
        <f t="shared" ref="K80:L80" si="36">K78+K77+K75+K79</f>
        <v>0</v>
      </c>
      <c r="L80" s="103">
        <f t="shared" si="36"/>
        <v>0.80000000000001137</v>
      </c>
      <c r="M80" s="40">
        <f>SUM(N80,P80)</f>
        <v>755.2</v>
      </c>
      <c r="N80" s="103">
        <f>N78+N77+N75+N79</f>
        <v>0</v>
      </c>
      <c r="O80" s="103">
        <f t="shared" ref="O80" si="37">O78+O77+O75+O79</f>
        <v>0</v>
      </c>
      <c r="P80" s="103">
        <f>P78+P77+P76+P75</f>
        <v>755.2</v>
      </c>
      <c r="Q80" s="40">
        <f t="shared" ref="Q80" si="38">SUM(R80,T80)</f>
        <v>245</v>
      </c>
      <c r="R80" s="103">
        <f>R78+R77+R75+R79</f>
        <v>0</v>
      </c>
      <c r="S80" s="103">
        <f t="shared" ref="S80:T80" si="39">S78+S77+S75+S79</f>
        <v>0</v>
      </c>
      <c r="T80" s="103">
        <f t="shared" si="39"/>
        <v>245</v>
      </c>
      <c r="U80" s="40">
        <f t="shared" ref="U80" si="40">SUM(V80,X80)</f>
        <v>0</v>
      </c>
      <c r="V80" s="103">
        <f>V78+V77+V75+V79</f>
        <v>0</v>
      </c>
      <c r="W80" s="103">
        <f t="shared" ref="W80:X80" si="41">W78+W77+W75+W79</f>
        <v>0</v>
      </c>
      <c r="X80" s="104">
        <f t="shared" si="41"/>
        <v>0</v>
      </c>
    </row>
    <row r="81" spans="1:24" s="18" customFormat="1" ht="28.5" customHeight="1" x14ac:dyDescent="0.2">
      <c r="A81" s="350">
        <v>2</v>
      </c>
      <c r="B81" s="352">
        <v>1</v>
      </c>
      <c r="C81" s="347">
        <v>3</v>
      </c>
      <c r="D81" s="382" t="s">
        <v>86</v>
      </c>
      <c r="E81" s="357">
        <v>9</v>
      </c>
      <c r="F81" s="339" t="s">
        <v>26</v>
      </c>
      <c r="G81" s="339" t="s">
        <v>87</v>
      </c>
      <c r="H81" s="173" t="s">
        <v>28</v>
      </c>
      <c r="I81" s="27">
        <v>4.0999999999999996</v>
      </c>
      <c r="J81" s="47"/>
      <c r="K81" s="47"/>
      <c r="L81" s="48">
        <v>4.0999999999999996</v>
      </c>
      <c r="M81" s="45">
        <f>N81+P81</f>
        <v>250</v>
      </c>
      <c r="N81" s="34"/>
      <c r="O81" s="34"/>
      <c r="P81" s="35">
        <v>250</v>
      </c>
      <c r="Q81" s="45">
        <v>1718</v>
      </c>
      <c r="R81" s="34"/>
      <c r="S81" s="34"/>
      <c r="T81" s="35">
        <f>1468+250</f>
        <v>1718</v>
      </c>
      <c r="U81" s="45"/>
      <c r="V81" s="34"/>
      <c r="W81" s="34"/>
      <c r="X81" s="35"/>
    </row>
    <row r="82" spans="1:24" s="18" customFormat="1" ht="20.25" customHeight="1" x14ac:dyDescent="0.2">
      <c r="A82" s="337"/>
      <c r="B82" s="338"/>
      <c r="C82" s="339"/>
      <c r="D82" s="377"/>
      <c r="E82" s="366"/>
      <c r="F82" s="339"/>
      <c r="G82" s="366"/>
      <c r="H82" s="61" t="s">
        <v>84</v>
      </c>
      <c r="I82" s="33"/>
      <c r="J82" s="174"/>
      <c r="K82" s="174"/>
      <c r="L82" s="175"/>
      <c r="M82" s="45">
        <v>400</v>
      </c>
      <c r="N82" s="174"/>
      <c r="O82" s="174"/>
      <c r="P82" s="175">
        <v>400</v>
      </c>
      <c r="Q82" s="176"/>
      <c r="R82" s="174"/>
      <c r="S82" s="174"/>
      <c r="T82" s="175"/>
      <c r="U82" s="176"/>
      <c r="V82" s="174"/>
      <c r="W82" s="174"/>
      <c r="X82" s="175"/>
    </row>
    <row r="83" spans="1:24" s="18" customFormat="1" ht="28.5" customHeight="1" thickBot="1" x14ac:dyDescent="0.25">
      <c r="A83" s="337"/>
      <c r="B83" s="338"/>
      <c r="C83" s="339"/>
      <c r="D83" s="377"/>
      <c r="E83" s="366"/>
      <c r="F83" s="409"/>
      <c r="G83" s="409"/>
      <c r="H83" s="177" t="s">
        <v>88</v>
      </c>
      <c r="I83" s="67">
        <f t="shared" si="35"/>
        <v>0</v>
      </c>
      <c r="J83" s="68"/>
      <c r="K83" s="68"/>
      <c r="L83" s="69">
        <f>200-200</f>
        <v>0</v>
      </c>
      <c r="M83" s="45">
        <f t="shared" ref="M83" si="42">N83+P83</f>
        <v>557</v>
      </c>
      <c r="N83" s="174"/>
      <c r="O83" s="174"/>
      <c r="P83" s="175">
        <v>557</v>
      </c>
      <c r="Q83" s="176">
        <f>R83+T83</f>
        <v>450</v>
      </c>
      <c r="R83" s="174"/>
      <c r="S83" s="174"/>
      <c r="T83" s="175">
        <v>450</v>
      </c>
      <c r="U83" s="176">
        <f>V83+X83</f>
        <v>100</v>
      </c>
      <c r="V83" s="174"/>
      <c r="W83" s="174"/>
      <c r="X83" s="175">
        <v>100</v>
      </c>
    </row>
    <row r="84" spans="1:24" s="18" customFormat="1" ht="16.5" customHeight="1" thickBot="1" x14ac:dyDescent="0.25">
      <c r="A84" s="351"/>
      <c r="B84" s="353"/>
      <c r="C84" s="340"/>
      <c r="D84" s="383"/>
      <c r="E84" s="358"/>
      <c r="F84" s="410" t="s">
        <v>31</v>
      </c>
      <c r="G84" s="411"/>
      <c r="H84" s="412"/>
      <c r="I84" s="40">
        <f>SUM(J84,L84)</f>
        <v>4.0999999999999996</v>
      </c>
      <c r="J84" s="103">
        <f>J81+J83</f>
        <v>0</v>
      </c>
      <c r="K84" s="103">
        <f>K81+K83</f>
        <v>0</v>
      </c>
      <c r="L84" s="104">
        <f>SUM(L81:L83)</f>
        <v>4.0999999999999996</v>
      </c>
      <c r="M84" s="40">
        <f>SUM(N84,P84)</f>
        <v>1207</v>
      </c>
      <c r="N84" s="103">
        <f>N81+N83+N73</f>
        <v>0</v>
      </c>
      <c r="O84" s="103">
        <f>O81+O83</f>
        <v>0</v>
      </c>
      <c r="P84" s="104">
        <f>SUM(P81:P83)</f>
        <v>1207</v>
      </c>
      <c r="Q84" s="40">
        <f>SUM(R84,T84)</f>
        <v>2168</v>
      </c>
      <c r="R84" s="103">
        <f>R81+R83+R73</f>
        <v>0</v>
      </c>
      <c r="S84" s="103">
        <f>S81+S83</f>
        <v>0</v>
      </c>
      <c r="T84" s="104">
        <f>SUM(T81:T83)</f>
        <v>2168</v>
      </c>
      <c r="U84" s="40">
        <f>SUM(V84,X84)</f>
        <v>100</v>
      </c>
      <c r="V84" s="103">
        <f>V81+V83+V73</f>
        <v>0</v>
      </c>
      <c r="W84" s="103">
        <f>W81+W83</f>
        <v>0</v>
      </c>
      <c r="X84" s="104">
        <f>SUM(X81:X83)</f>
        <v>100</v>
      </c>
    </row>
    <row r="85" spans="1:24" s="18" customFormat="1" ht="28.5" customHeight="1" thickBot="1" x14ac:dyDescent="0.25">
      <c r="A85" s="350">
        <v>2</v>
      </c>
      <c r="B85" s="352">
        <v>1</v>
      </c>
      <c r="C85" s="339">
        <v>4</v>
      </c>
      <c r="D85" s="377" t="s">
        <v>89</v>
      </c>
      <c r="E85" s="413">
        <v>9</v>
      </c>
      <c r="F85" s="178" t="s">
        <v>26</v>
      </c>
      <c r="G85" s="178" t="s">
        <v>90</v>
      </c>
      <c r="H85" s="179" t="s">
        <v>28</v>
      </c>
      <c r="I85" s="180">
        <f t="shared" ref="I85" si="43">J85+L85</f>
        <v>0</v>
      </c>
      <c r="J85" s="181"/>
      <c r="K85" s="182"/>
      <c r="L85" s="183"/>
      <c r="M85" s="180"/>
      <c r="N85" s="181"/>
      <c r="O85" s="182"/>
      <c r="P85" s="183"/>
      <c r="Q85" s="180">
        <v>30</v>
      </c>
      <c r="R85" s="181"/>
      <c r="S85" s="182"/>
      <c r="T85" s="183">
        <v>30</v>
      </c>
      <c r="U85" s="180">
        <f>V85+X85</f>
        <v>0</v>
      </c>
      <c r="V85" s="181"/>
      <c r="W85" s="182"/>
      <c r="X85" s="184"/>
    </row>
    <row r="86" spans="1:24" s="18" customFormat="1" ht="16.5" customHeight="1" thickBot="1" x14ac:dyDescent="0.25">
      <c r="A86" s="351"/>
      <c r="B86" s="353"/>
      <c r="C86" s="376"/>
      <c r="D86" s="378"/>
      <c r="E86" s="414"/>
      <c r="F86" s="410" t="s">
        <v>31</v>
      </c>
      <c r="G86" s="411"/>
      <c r="H86" s="412"/>
      <c r="I86" s="40">
        <f>SUM(J86,L86)</f>
        <v>0</v>
      </c>
      <c r="J86" s="103">
        <f>J85</f>
        <v>0</v>
      </c>
      <c r="K86" s="103">
        <f>K85</f>
        <v>0</v>
      </c>
      <c r="L86" s="104">
        <f>SUM(L85:L85)</f>
        <v>0</v>
      </c>
      <c r="M86" s="40">
        <f>SUM(N86,P86)</f>
        <v>0</v>
      </c>
      <c r="N86" s="103">
        <f>N85</f>
        <v>0</v>
      </c>
      <c r="O86" s="103">
        <f>O85</f>
        <v>0</v>
      </c>
      <c r="P86" s="104">
        <f>SUM(P85:P85)</f>
        <v>0</v>
      </c>
      <c r="Q86" s="40">
        <f>SUM(R86,T86)</f>
        <v>30</v>
      </c>
      <c r="R86" s="103">
        <f>R85</f>
        <v>0</v>
      </c>
      <c r="S86" s="103">
        <f>S85</f>
        <v>0</v>
      </c>
      <c r="T86" s="104">
        <f>SUM(T85:T85)</f>
        <v>30</v>
      </c>
      <c r="U86" s="40">
        <f>SUM(V86,X86)</f>
        <v>0</v>
      </c>
      <c r="V86" s="103">
        <f>V85</f>
        <v>0</v>
      </c>
      <c r="W86" s="103">
        <f>W85</f>
        <v>0</v>
      </c>
      <c r="X86" s="104">
        <f>SUM(X85:X85)</f>
        <v>0</v>
      </c>
    </row>
    <row r="87" spans="1:24" s="18" customFormat="1" ht="23.25" customHeight="1" thickBot="1" x14ac:dyDescent="0.25">
      <c r="A87" s="185">
        <v>2</v>
      </c>
      <c r="B87" s="186">
        <v>1</v>
      </c>
      <c r="C87" s="415" t="s">
        <v>61</v>
      </c>
      <c r="D87" s="416"/>
      <c r="E87" s="416"/>
      <c r="F87" s="416"/>
      <c r="G87" s="416"/>
      <c r="H87" s="417"/>
      <c r="I87" s="136">
        <f>I74+I80+I84+I86</f>
        <v>134.1</v>
      </c>
      <c r="J87" s="137">
        <f>J74+J80+J84+J86</f>
        <v>20</v>
      </c>
      <c r="K87" s="137">
        <f>K84+K80+K74+K86</f>
        <v>0</v>
      </c>
      <c r="L87" s="137">
        <f>L74+L80+L84+L86</f>
        <v>114.10000000000001</v>
      </c>
      <c r="M87" s="136">
        <f>M74+M80+M84+M86</f>
        <v>1962.2</v>
      </c>
      <c r="N87" s="137">
        <f>N84+N80+N74+N86</f>
        <v>0</v>
      </c>
      <c r="O87" s="137">
        <f>O84+O80+O74+O86</f>
        <v>0</v>
      </c>
      <c r="P87" s="137">
        <f>P74+P80+P84+P86</f>
        <v>1962.2</v>
      </c>
      <c r="Q87" s="136">
        <f>Q74+Q80+Q84+Q86</f>
        <v>2443</v>
      </c>
      <c r="R87" s="137">
        <f>SUM(R84,R80,R74)</f>
        <v>0</v>
      </c>
      <c r="S87" s="137">
        <f>SUM(S84,S80,S74)</f>
        <v>0</v>
      </c>
      <c r="T87" s="187">
        <f>T74+T80+T84+T86</f>
        <v>2443</v>
      </c>
      <c r="U87" s="136">
        <f t="shared" ref="U87:U88" si="44">SUM(V87,X87)</f>
        <v>100</v>
      </c>
      <c r="V87" s="137">
        <f>SUM(V84,V80,V74)</f>
        <v>0</v>
      </c>
      <c r="W87" s="137">
        <f>SUM(W84,W80,W74)</f>
        <v>0</v>
      </c>
      <c r="X87" s="187">
        <f>SUM(X84,X80,X74)</f>
        <v>100</v>
      </c>
    </row>
    <row r="88" spans="1:24" s="18" customFormat="1" ht="23.25" customHeight="1" thickBot="1" x14ac:dyDescent="0.25">
      <c r="A88" s="140">
        <v>2</v>
      </c>
      <c r="B88" s="418" t="s">
        <v>76</v>
      </c>
      <c r="C88" s="419"/>
      <c r="D88" s="419"/>
      <c r="E88" s="419"/>
      <c r="F88" s="419"/>
      <c r="G88" s="419"/>
      <c r="H88" s="420"/>
      <c r="I88" s="144">
        <f>SUM(J88,L88)</f>
        <v>134.10000000000002</v>
      </c>
      <c r="J88" s="143">
        <f>SUM(J87)</f>
        <v>20</v>
      </c>
      <c r="K88" s="143">
        <f>SUM(K87)</f>
        <v>0</v>
      </c>
      <c r="L88" s="145">
        <f>SUM(L87)</f>
        <v>114.10000000000001</v>
      </c>
      <c r="M88" s="144">
        <f>SUM(N88,P88)</f>
        <v>1962.2</v>
      </c>
      <c r="N88" s="143">
        <f>SUM(N87)</f>
        <v>0</v>
      </c>
      <c r="O88" s="143">
        <f>SUM(O87)</f>
        <v>0</v>
      </c>
      <c r="P88" s="145">
        <f>SUM(P87)</f>
        <v>1962.2</v>
      </c>
      <c r="Q88" s="144">
        <f t="shared" ref="Q88" si="45">SUM(R88,T88)</f>
        <v>2443</v>
      </c>
      <c r="R88" s="143">
        <f>SUM(R87)</f>
        <v>0</v>
      </c>
      <c r="S88" s="143">
        <f>SUM(S87)</f>
        <v>0</v>
      </c>
      <c r="T88" s="145">
        <f>SUM(T87)</f>
        <v>2443</v>
      </c>
      <c r="U88" s="144">
        <f t="shared" si="44"/>
        <v>100</v>
      </c>
      <c r="V88" s="143">
        <f>SUM(V87)</f>
        <v>0</v>
      </c>
      <c r="W88" s="143">
        <f>SUM(W87)</f>
        <v>0</v>
      </c>
      <c r="X88" s="145">
        <f>SUM(X87)</f>
        <v>100</v>
      </c>
    </row>
    <row r="89" spans="1:24" s="18" customFormat="1" ht="23.25" customHeight="1" thickBot="1" x14ac:dyDescent="0.25">
      <c r="A89" s="146">
        <v>3</v>
      </c>
      <c r="B89" s="397" t="s">
        <v>91</v>
      </c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421"/>
    </row>
    <row r="90" spans="1:24" s="18" customFormat="1" ht="23.25" customHeight="1" thickBot="1" x14ac:dyDescent="0.25">
      <c r="A90" s="23">
        <v>3</v>
      </c>
      <c r="B90" s="97">
        <v>1</v>
      </c>
      <c r="C90" s="370" t="s">
        <v>92</v>
      </c>
      <c r="D90" s="371"/>
      <c r="E90" s="371"/>
      <c r="F90" s="371"/>
      <c r="G90" s="371"/>
      <c r="H90" s="371"/>
      <c r="I90" s="371"/>
      <c r="J90" s="371"/>
      <c r="K90" s="371"/>
      <c r="L90" s="371"/>
      <c r="M90" s="371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422"/>
    </row>
    <row r="91" spans="1:24" s="18" customFormat="1" ht="17.25" customHeight="1" thickBot="1" x14ac:dyDescent="0.25">
      <c r="A91" s="350">
        <v>3</v>
      </c>
      <c r="B91" s="352">
        <v>1</v>
      </c>
      <c r="C91" s="339">
        <v>1</v>
      </c>
      <c r="D91" s="341" t="s">
        <v>93</v>
      </c>
      <c r="E91" s="366">
        <v>7</v>
      </c>
      <c r="F91" s="188" t="s">
        <v>64</v>
      </c>
      <c r="G91" s="189" t="s">
        <v>94</v>
      </c>
      <c r="H91" s="190" t="s">
        <v>28</v>
      </c>
      <c r="I91" s="31">
        <v>15</v>
      </c>
      <c r="J91" s="191">
        <v>15</v>
      </c>
      <c r="K91" s="191"/>
      <c r="L91" s="192"/>
      <c r="M91" s="31">
        <v>39</v>
      </c>
      <c r="N91" s="191">
        <v>39</v>
      </c>
      <c r="O91" s="191">
        <v>0</v>
      </c>
      <c r="P91" s="192">
        <v>0</v>
      </c>
      <c r="Q91" s="31">
        <v>42</v>
      </c>
      <c r="R91" s="191">
        <v>42</v>
      </c>
      <c r="S91" s="191">
        <v>0</v>
      </c>
      <c r="T91" s="192">
        <v>0</v>
      </c>
      <c r="U91" s="31">
        <v>56.5</v>
      </c>
      <c r="V91" s="191">
        <v>56.5</v>
      </c>
      <c r="W91" s="191">
        <v>0</v>
      </c>
      <c r="X91" s="192">
        <v>0</v>
      </c>
    </row>
    <row r="92" spans="1:24" s="18" customFormat="1" ht="18.75" customHeight="1" thickBot="1" x14ac:dyDescent="0.25">
      <c r="A92" s="337"/>
      <c r="B92" s="338"/>
      <c r="C92" s="339"/>
      <c r="D92" s="341"/>
      <c r="E92" s="366"/>
      <c r="F92" s="348" t="s">
        <v>31</v>
      </c>
      <c r="G92" s="349"/>
      <c r="H92" s="354"/>
      <c r="I92" s="40">
        <f>I91</f>
        <v>15</v>
      </c>
      <c r="J92" s="103">
        <f>J91</f>
        <v>15</v>
      </c>
      <c r="K92" s="103"/>
      <c r="L92" s="104"/>
      <c r="M92" s="40">
        <f>M91</f>
        <v>39</v>
      </c>
      <c r="N92" s="103">
        <f>N91</f>
        <v>39</v>
      </c>
      <c r="O92" s="103">
        <f>SUM(O91)</f>
        <v>0</v>
      </c>
      <c r="P92" s="104">
        <f>SUM(P91)</f>
        <v>0</v>
      </c>
      <c r="Q92" s="40">
        <f>Q91</f>
        <v>42</v>
      </c>
      <c r="R92" s="103">
        <f>R91</f>
        <v>42</v>
      </c>
      <c r="S92" s="103">
        <f>SUM(S91)</f>
        <v>0</v>
      </c>
      <c r="T92" s="104">
        <f>SUM(T91)</f>
        <v>0</v>
      </c>
      <c r="U92" s="40">
        <f>U91</f>
        <v>56.5</v>
      </c>
      <c r="V92" s="103">
        <f>V91</f>
        <v>56.5</v>
      </c>
      <c r="W92" s="103">
        <f>SUM(W91)</f>
        <v>0</v>
      </c>
      <c r="X92" s="104">
        <f>SUM(X91)</f>
        <v>0</v>
      </c>
    </row>
    <row r="93" spans="1:24" s="18" customFormat="1" ht="27" customHeight="1" thickBot="1" x14ac:dyDescent="0.25">
      <c r="A93" s="350">
        <v>3</v>
      </c>
      <c r="B93" s="352">
        <v>1</v>
      </c>
      <c r="C93" s="347">
        <v>2</v>
      </c>
      <c r="D93" s="355" t="s">
        <v>95</v>
      </c>
      <c r="E93" s="357">
        <v>7</v>
      </c>
      <c r="F93" s="99" t="s">
        <v>96</v>
      </c>
      <c r="G93" s="99" t="s">
        <v>97</v>
      </c>
      <c r="H93" s="193" t="s">
        <v>28</v>
      </c>
      <c r="I93" s="27">
        <v>1.8</v>
      </c>
      <c r="J93" s="47">
        <v>1.8</v>
      </c>
      <c r="K93" s="47">
        <v>0</v>
      </c>
      <c r="L93" s="48">
        <v>0</v>
      </c>
      <c r="M93" s="27">
        <f>N93+P93</f>
        <v>2.4</v>
      </c>
      <c r="N93" s="47">
        <f>2.3+0.1</f>
        <v>2.4</v>
      </c>
      <c r="O93" s="47">
        <v>0</v>
      </c>
      <c r="P93" s="48">
        <v>0</v>
      </c>
      <c r="Q93" s="27">
        <v>2.8</v>
      </c>
      <c r="R93" s="47">
        <v>2.8</v>
      </c>
      <c r="S93" s="47">
        <v>0</v>
      </c>
      <c r="T93" s="48">
        <v>0</v>
      </c>
      <c r="U93" s="27">
        <v>2.8</v>
      </c>
      <c r="V93" s="47">
        <v>2.8</v>
      </c>
      <c r="W93" s="47">
        <v>0</v>
      </c>
      <c r="X93" s="48">
        <v>0</v>
      </c>
    </row>
    <row r="94" spans="1:24" s="18" customFormat="1" ht="32.25" customHeight="1" thickBot="1" x14ac:dyDescent="0.25">
      <c r="A94" s="337"/>
      <c r="B94" s="338"/>
      <c r="C94" s="339"/>
      <c r="D94" s="341"/>
      <c r="E94" s="366"/>
      <c r="F94" s="348" t="s">
        <v>31</v>
      </c>
      <c r="G94" s="349"/>
      <c r="H94" s="354"/>
      <c r="I94" s="40">
        <f t="shared" ref="I94" si="46">SUM(J94,L94)</f>
        <v>1.8</v>
      </c>
      <c r="J94" s="103">
        <f>SUM(J93)</f>
        <v>1.8</v>
      </c>
      <c r="K94" s="103">
        <f>SUM(K93)</f>
        <v>0</v>
      </c>
      <c r="L94" s="104">
        <f>SUM(L93)</f>
        <v>0</v>
      </c>
      <c r="M94" s="40">
        <f t="shared" ref="M94" si="47">SUM(N94,P94)</f>
        <v>2.4</v>
      </c>
      <c r="N94" s="103">
        <f>SUM(N93)</f>
        <v>2.4</v>
      </c>
      <c r="O94" s="103">
        <f>SUM(O93)</f>
        <v>0</v>
      </c>
      <c r="P94" s="104">
        <f>SUM(P93)</f>
        <v>0</v>
      </c>
      <c r="Q94" s="40">
        <f t="shared" ref="Q94" si="48">SUM(R94,T94)</f>
        <v>2.8</v>
      </c>
      <c r="R94" s="103">
        <f>SUM(R93)</f>
        <v>2.8</v>
      </c>
      <c r="S94" s="103">
        <f>SUM(S93)</f>
        <v>0</v>
      </c>
      <c r="T94" s="104">
        <f>SUM(T93)</f>
        <v>0</v>
      </c>
      <c r="U94" s="40">
        <f t="shared" ref="U94" si="49">SUM(V94,X94)</f>
        <v>2.8</v>
      </c>
      <c r="V94" s="103">
        <f>SUM(V93)</f>
        <v>2.8</v>
      </c>
      <c r="W94" s="103">
        <f>SUM(W93)</f>
        <v>0</v>
      </c>
      <c r="X94" s="104">
        <f>SUM(X93)</f>
        <v>0</v>
      </c>
    </row>
    <row r="95" spans="1:24" ht="18.75" customHeight="1" thickBot="1" x14ac:dyDescent="0.35">
      <c r="A95" s="92">
        <v>3</v>
      </c>
      <c r="B95" s="93">
        <v>1</v>
      </c>
      <c r="C95" s="367" t="s">
        <v>61</v>
      </c>
      <c r="D95" s="368"/>
      <c r="E95" s="368"/>
      <c r="F95" s="368"/>
      <c r="G95" s="368"/>
      <c r="H95" s="369"/>
      <c r="I95" s="194">
        <f>I92+I94</f>
        <v>16.8</v>
      </c>
      <c r="J95" s="195">
        <f>J92+J94</f>
        <v>16.8</v>
      </c>
      <c r="K95" s="195">
        <f>SUM(,K94,K92,)</f>
        <v>0</v>
      </c>
      <c r="L95" s="196">
        <f>SUM(,L94,L92,)</f>
        <v>0</v>
      </c>
      <c r="M95" s="194">
        <f>M92+M94</f>
        <v>41.4</v>
      </c>
      <c r="N95" s="195">
        <f>N92+N94</f>
        <v>41.4</v>
      </c>
      <c r="O95" s="195">
        <f>SUM(O94,O92,)</f>
        <v>0</v>
      </c>
      <c r="P95" s="196">
        <f>SUM(,P94,P92,)</f>
        <v>0</v>
      </c>
      <c r="Q95" s="194">
        <f>Q92+Q94</f>
        <v>44.8</v>
      </c>
      <c r="R95" s="195">
        <f>R92+R94</f>
        <v>44.8</v>
      </c>
      <c r="S95" s="195">
        <f>SUM(,S94,S92,)</f>
        <v>0</v>
      </c>
      <c r="T95" s="196">
        <f>SUM(,T94,T92,)</f>
        <v>0</v>
      </c>
      <c r="U95" s="194">
        <f>U92+U94</f>
        <v>59.3</v>
      </c>
      <c r="V95" s="195">
        <f>V92+V94</f>
        <v>59.3</v>
      </c>
      <c r="W95" s="195">
        <f>SUM(,W94,W92,)</f>
        <v>0</v>
      </c>
      <c r="X95" s="196">
        <f>SUM(,X94,X92,)</f>
        <v>0</v>
      </c>
    </row>
    <row r="96" spans="1:24" s="24" customFormat="1" ht="12" customHeight="1" thickBot="1" x14ac:dyDescent="0.35">
      <c r="A96" s="23">
        <v>3</v>
      </c>
      <c r="B96" s="97">
        <v>2</v>
      </c>
      <c r="C96" s="370" t="s">
        <v>98</v>
      </c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2"/>
      <c r="V96" s="372"/>
      <c r="W96" s="372"/>
      <c r="X96" s="373"/>
    </row>
    <row r="97" spans="1:26" s="24" customFormat="1" ht="12" customHeight="1" x14ac:dyDescent="0.2">
      <c r="A97" s="350">
        <v>3</v>
      </c>
      <c r="B97" s="352">
        <v>2</v>
      </c>
      <c r="C97" s="339">
        <v>1</v>
      </c>
      <c r="D97" s="365" t="s">
        <v>99</v>
      </c>
      <c r="E97" s="343" t="s">
        <v>60</v>
      </c>
      <c r="F97" s="340" t="s">
        <v>100</v>
      </c>
      <c r="G97" s="340" t="s">
        <v>101</v>
      </c>
      <c r="H97" s="59" t="s">
        <v>28</v>
      </c>
      <c r="I97" s="27">
        <f>J97+L97</f>
        <v>228.2</v>
      </c>
      <c r="J97" s="28">
        <f>228.5-0.3-2.6</f>
        <v>225.6</v>
      </c>
      <c r="K97" s="28">
        <v>201.6</v>
      </c>
      <c r="L97" s="29">
        <f>2.6</f>
        <v>2.6</v>
      </c>
      <c r="M97" s="28">
        <v>255.3</v>
      </c>
      <c r="N97" s="28">
        <v>255.3</v>
      </c>
      <c r="O97" s="28">
        <v>225.4</v>
      </c>
      <c r="P97" s="192"/>
      <c r="Q97" s="28">
        <v>272.39999999999998</v>
      </c>
      <c r="R97" s="28">
        <v>272.39999999999998</v>
      </c>
      <c r="S97" s="28">
        <v>241.2</v>
      </c>
      <c r="T97" s="192"/>
      <c r="U97" s="28">
        <v>272.39999999999998</v>
      </c>
      <c r="V97" s="28">
        <v>272.39999999999998</v>
      </c>
      <c r="W97" s="28">
        <v>241.2</v>
      </c>
      <c r="X97" s="192"/>
      <c r="Z97" s="18"/>
    </row>
    <row r="98" spans="1:26" s="18" customFormat="1" ht="14.25" customHeight="1" x14ac:dyDescent="0.2">
      <c r="A98" s="337"/>
      <c r="B98" s="338"/>
      <c r="C98" s="339"/>
      <c r="D98" s="365"/>
      <c r="E98" s="343"/>
      <c r="F98" s="346"/>
      <c r="G98" s="346"/>
      <c r="H98" s="61" t="s">
        <v>29</v>
      </c>
      <c r="I98" s="31">
        <f>J98+L98</f>
        <v>13</v>
      </c>
      <c r="J98" s="34">
        <f>10+3</f>
        <v>13</v>
      </c>
      <c r="K98" s="34">
        <f>2+2.5</f>
        <v>4.5</v>
      </c>
      <c r="L98" s="197">
        <v>0</v>
      </c>
      <c r="M98" s="165">
        <v>20</v>
      </c>
      <c r="N98" s="88">
        <v>20</v>
      </c>
      <c r="O98" s="88">
        <v>2.4</v>
      </c>
      <c r="P98" s="53">
        <v>0</v>
      </c>
      <c r="Q98" s="31">
        <v>16.2</v>
      </c>
      <c r="R98" s="34">
        <v>16.2</v>
      </c>
      <c r="S98" s="34">
        <v>2.4</v>
      </c>
      <c r="T98" s="53">
        <v>0</v>
      </c>
      <c r="U98" s="31">
        <v>16.2</v>
      </c>
      <c r="V98" s="34">
        <v>16.2</v>
      </c>
      <c r="W98" s="34">
        <v>2.4</v>
      </c>
      <c r="X98" s="53">
        <v>0</v>
      </c>
    </row>
    <row r="99" spans="1:26" s="18" customFormat="1" ht="14.25" customHeight="1" thickBot="1" x14ac:dyDescent="0.25">
      <c r="A99" s="337"/>
      <c r="B99" s="338"/>
      <c r="C99" s="339"/>
      <c r="D99" s="365"/>
      <c r="E99" s="343"/>
      <c r="F99" s="347"/>
      <c r="G99" s="347"/>
      <c r="H99" s="62" t="s">
        <v>30</v>
      </c>
      <c r="I99" s="58">
        <f>J99+L99</f>
        <v>2.1</v>
      </c>
      <c r="J99" s="55">
        <v>2.1</v>
      </c>
      <c r="K99" s="55">
        <v>2</v>
      </c>
      <c r="L99" s="56"/>
      <c r="M99" s="58">
        <v>7</v>
      </c>
      <c r="N99" s="55">
        <v>7</v>
      </c>
      <c r="O99" s="55">
        <v>7</v>
      </c>
      <c r="P99" s="57"/>
      <c r="Q99" s="58"/>
      <c r="R99" s="55"/>
      <c r="S99" s="55"/>
      <c r="T99" s="57"/>
      <c r="U99" s="58"/>
      <c r="V99" s="55"/>
      <c r="W99" s="55"/>
      <c r="X99" s="57"/>
    </row>
    <row r="100" spans="1:26" s="18" customFormat="1" ht="15.75" customHeight="1" thickBot="1" x14ac:dyDescent="0.25">
      <c r="A100" s="337"/>
      <c r="B100" s="338"/>
      <c r="C100" s="339"/>
      <c r="D100" s="365"/>
      <c r="E100" s="343"/>
      <c r="F100" s="348" t="s">
        <v>31</v>
      </c>
      <c r="G100" s="349"/>
      <c r="H100" s="354"/>
      <c r="I100" s="40">
        <f>SUM(J100,L100)</f>
        <v>243.29999999999998</v>
      </c>
      <c r="J100" s="41">
        <f>SUM(J97:J99)</f>
        <v>240.7</v>
      </c>
      <c r="K100" s="41">
        <f t="shared" ref="K100:L100" si="50">SUM(K97:K99)</f>
        <v>208.1</v>
      </c>
      <c r="L100" s="41">
        <f t="shared" si="50"/>
        <v>2.6</v>
      </c>
      <c r="M100" s="40">
        <f>SUM(N100,P100)</f>
        <v>282.3</v>
      </c>
      <c r="N100" s="41">
        <f>SUM(N97:N99)</f>
        <v>282.3</v>
      </c>
      <c r="O100" s="41">
        <f>SUM(O97:O99)</f>
        <v>234.8</v>
      </c>
      <c r="P100" s="41">
        <f t="shared" ref="P100" si="51">SUM(P97:P99)</f>
        <v>0</v>
      </c>
      <c r="Q100" s="40">
        <f>SUM(R100,T100)</f>
        <v>288.59999999999997</v>
      </c>
      <c r="R100" s="41">
        <f>SUM(R97:R99)</f>
        <v>288.59999999999997</v>
      </c>
      <c r="S100" s="41">
        <f t="shared" ref="S100:T100" si="52">SUM(S97:S99)</f>
        <v>243.6</v>
      </c>
      <c r="T100" s="41">
        <f t="shared" si="52"/>
        <v>0</v>
      </c>
      <c r="U100" s="40">
        <f>SUM(V100,X100)</f>
        <v>288.59999999999997</v>
      </c>
      <c r="V100" s="41">
        <f>SUM(V97:V99)</f>
        <v>288.59999999999997</v>
      </c>
      <c r="W100" s="41">
        <f t="shared" ref="W100:X100" si="53">SUM(W97:W99)</f>
        <v>243.6</v>
      </c>
      <c r="X100" s="42">
        <f t="shared" si="53"/>
        <v>0</v>
      </c>
      <c r="Y100" s="198"/>
    </row>
    <row r="101" spans="1:26" s="18" customFormat="1" ht="15.75" customHeight="1" thickBot="1" x14ac:dyDescent="0.25">
      <c r="A101" s="92">
        <v>3</v>
      </c>
      <c r="B101" s="199">
        <v>2</v>
      </c>
      <c r="C101" s="367" t="s">
        <v>61</v>
      </c>
      <c r="D101" s="368"/>
      <c r="E101" s="368"/>
      <c r="F101" s="423"/>
      <c r="G101" s="423"/>
      <c r="H101" s="424"/>
      <c r="I101" s="136">
        <f>SUM(J101,L101)</f>
        <v>243.29999999999998</v>
      </c>
      <c r="J101" s="137">
        <f>SUM(J100)</f>
        <v>240.7</v>
      </c>
      <c r="K101" s="137">
        <f>SUM(K100)</f>
        <v>208.1</v>
      </c>
      <c r="L101" s="187">
        <f>SUM(L100)</f>
        <v>2.6</v>
      </c>
      <c r="M101" s="136">
        <f>SUM(N101,P101)</f>
        <v>282.3</v>
      </c>
      <c r="N101" s="137">
        <f t="shared" ref="N101:P101" si="54">SUM(N100)</f>
        <v>282.3</v>
      </c>
      <c r="O101" s="137">
        <f t="shared" si="54"/>
        <v>234.8</v>
      </c>
      <c r="P101" s="187">
        <f t="shared" si="54"/>
        <v>0</v>
      </c>
      <c r="Q101" s="136">
        <f>SUM(R101,T101)</f>
        <v>288.59999999999997</v>
      </c>
      <c r="R101" s="137">
        <f t="shared" ref="R101:T101" si="55">SUM(R100)</f>
        <v>288.59999999999997</v>
      </c>
      <c r="S101" s="137">
        <f t="shared" si="55"/>
        <v>243.6</v>
      </c>
      <c r="T101" s="187">
        <f t="shared" si="55"/>
        <v>0</v>
      </c>
      <c r="U101" s="136">
        <f>SUM(V101,X101)</f>
        <v>288.59999999999997</v>
      </c>
      <c r="V101" s="137">
        <f t="shared" ref="V101:X101" si="56">SUM(V100)</f>
        <v>288.59999999999997</v>
      </c>
      <c r="W101" s="137">
        <f t="shared" si="56"/>
        <v>243.6</v>
      </c>
      <c r="X101" s="187">
        <f t="shared" si="56"/>
        <v>0</v>
      </c>
    </row>
    <row r="102" spans="1:26" ht="18.75" customHeight="1" thickBot="1" x14ac:dyDescent="0.35">
      <c r="A102" s="140">
        <v>3</v>
      </c>
      <c r="B102" s="418" t="s">
        <v>76</v>
      </c>
      <c r="C102" s="419"/>
      <c r="D102" s="419"/>
      <c r="E102" s="419"/>
      <c r="F102" s="419"/>
      <c r="G102" s="419"/>
      <c r="H102" s="420"/>
      <c r="I102" s="144">
        <f>I95+I101</f>
        <v>260.09999999999997</v>
      </c>
      <c r="J102" s="143">
        <f>J95+J101</f>
        <v>257.5</v>
      </c>
      <c r="K102" s="143">
        <f>K95+K101</f>
        <v>208.1</v>
      </c>
      <c r="L102" s="143">
        <f>L95+L101</f>
        <v>2.6</v>
      </c>
      <c r="M102" s="144">
        <f>M95+M101</f>
        <v>323.7</v>
      </c>
      <c r="N102" s="143">
        <f>N101+N95</f>
        <v>323.7</v>
      </c>
      <c r="O102" s="143">
        <f t="shared" ref="O102:P102" si="57">O101+O95</f>
        <v>234.8</v>
      </c>
      <c r="P102" s="143">
        <f t="shared" si="57"/>
        <v>0</v>
      </c>
      <c r="Q102" s="144">
        <f>Q95+Q101</f>
        <v>333.4</v>
      </c>
      <c r="R102" s="143">
        <f>R101+R95</f>
        <v>333.4</v>
      </c>
      <c r="S102" s="143">
        <f t="shared" ref="S102:T102" si="58">S101+S95</f>
        <v>243.6</v>
      </c>
      <c r="T102" s="143">
        <f t="shared" si="58"/>
        <v>0</v>
      </c>
      <c r="U102" s="144">
        <f t="shared" ref="U102" si="59">SUM(V102,X102)</f>
        <v>347.9</v>
      </c>
      <c r="V102" s="143">
        <f>V101+V95</f>
        <v>347.9</v>
      </c>
      <c r="W102" s="143">
        <f t="shared" ref="W102:X102" si="60">W101+W95</f>
        <v>243.6</v>
      </c>
      <c r="X102" s="145">
        <f t="shared" si="60"/>
        <v>0</v>
      </c>
    </row>
    <row r="103" spans="1:26" ht="25.5" customHeight="1" thickBot="1" x14ac:dyDescent="0.35">
      <c r="A103" s="146">
        <v>4</v>
      </c>
      <c r="B103" s="397" t="s">
        <v>102</v>
      </c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421"/>
    </row>
    <row r="104" spans="1:26" ht="18" customHeight="1" thickBot="1" x14ac:dyDescent="0.35">
      <c r="A104" s="23">
        <v>4</v>
      </c>
      <c r="B104" s="200">
        <v>1</v>
      </c>
      <c r="C104" s="370" t="s">
        <v>103</v>
      </c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422"/>
    </row>
    <row r="105" spans="1:26" ht="26.25" customHeight="1" thickBot="1" x14ac:dyDescent="0.35">
      <c r="A105" s="350">
        <v>4</v>
      </c>
      <c r="B105" s="352">
        <v>1</v>
      </c>
      <c r="C105" s="339">
        <v>1</v>
      </c>
      <c r="D105" s="425" t="s">
        <v>104</v>
      </c>
      <c r="E105" s="201">
        <v>2</v>
      </c>
      <c r="F105" s="106" t="s">
        <v>67</v>
      </c>
      <c r="G105" s="106" t="s">
        <v>105</v>
      </c>
      <c r="H105" s="26" t="s">
        <v>28</v>
      </c>
      <c r="I105" s="31">
        <v>16.2</v>
      </c>
      <c r="J105" s="28">
        <v>16.2</v>
      </c>
      <c r="K105" s="28"/>
      <c r="L105" s="29">
        <v>0</v>
      </c>
      <c r="M105" s="31">
        <v>20</v>
      </c>
      <c r="N105" s="28">
        <v>20</v>
      </c>
      <c r="O105" s="28">
        <v>0</v>
      </c>
      <c r="P105" s="29"/>
      <c r="Q105" s="31">
        <v>50</v>
      </c>
      <c r="R105" s="28">
        <v>50</v>
      </c>
      <c r="S105" s="28">
        <v>0</v>
      </c>
      <c r="T105" s="29"/>
      <c r="U105" s="31">
        <v>50</v>
      </c>
      <c r="V105" s="28">
        <v>50</v>
      </c>
      <c r="W105" s="28">
        <v>0</v>
      </c>
      <c r="X105" s="29">
        <v>0</v>
      </c>
    </row>
    <row r="106" spans="1:26" ht="29.25" customHeight="1" thickBot="1" x14ac:dyDescent="0.35">
      <c r="A106" s="337"/>
      <c r="B106" s="338"/>
      <c r="C106" s="339"/>
      <c r="D106" s="426"/>
      <c r="E106" s="114"/>
      <c r="F106" s="348" t="s">
        <v>31</v>
      </c>
      <c r="G106" s="349"/>
      <c r="H106" s="354"/>
      <c r="I106" s="40">
        <f>I105</f>
        <v>16.2</v>
      </c>
      <c r="J106" s="103">
        <f>J105</f>
        <v>16.2</v>
      </c>
      <c r="K106" s="103">
        <f>SUM(K105)</f>
        <v>0</v>
      </c>
      <c r="L106" s="104">
        <f>SUM(L105)</f>
        <v>0</v>
      </c>
      <c r="M106" s="40">
        <f>M105</f>
        <v>20</v>
      </c>
      <c r="N106" s="103">
        <f>N105</f>
        <v>20</v>
      </c>
      <c r="O106" s="103">
        <f>SUM(O105)</f>
        <v>0</v>
      </c>
      <c r="P106" s="104"/>
      <c r="Q106" s="40">
        <f>Q105</f>
        <v>50</v>
      </c>
      <c r="R106" s="103">
        <f>R105</f>
        <v>50</v>
      </c>
      <c r="S106" s="103">
        <f>SUM(S105)</f>
        <v>0</v>
      </c>
      <c r="T106" s="104"/>
      <c r="U106" s="40">
        <f>U105</f>
        <v>50</v>
      </c>
      <c r="V106" s="103">
        <f>V105</f>
        <v>50</v>
      </c>
      <c r="W106" s="103">
        <f>SUM(W105)</f>
        <v>0</v>
      </c>
      <c r="X106" s="104">
        <f>SUM(X105)</f>
        <v>0</v>
      </c>
    </row>
    <row r="107" spans="1:26" ht="27" customHeight="1" x14ac:dyDescent="0.3">
      <c r="A107" s="350">
        <v>4</v>
      </c>
      <c r="B107" s="352">
        <v>1</v>
      </c>
      <c r="C107" s="347">
        <v>2</v>
      </c>
      <c r="D107" s="382" t="s">
        <v>106</v>
      </c>
      <c r="E107" s="111">
        <v>2</v>
      </c>
      <c r="F107" s="390" t="s">
        <v>67</v>
      </c>
      <c r="G107" s="390" t="s">
        <v>107</v>
      </c>
      <c r="H107" s="26" t="s">
        <v>28</v>
      </c>
      <c r="I107" s="27">
        <f>J107+L107</f>
        <v>0</v>
      </c>
      <c r="J107" s="47">
        <f>20-20</f>
        <v>0</v>
      </c>
      <c r="K107" s="47">
        <v>0</v>
      </c>
      <c r="L107" s="107"/>
      <c r="M107" s="27">
        <v>200</v>
      </c>
      <c r="N107" s="47">
        <v>200</v>
      </c>
      <c r="O107" s="47">
        <v>0</v>
      </c>
      <c r="P107" s="202"/>
      <c r="Q107" s="27">
        <f t="shared" ref="Q107" si="61">SUM(R107,T107)</f>
        <v>0</v>
      </c>
      <c r="R107" s="47">
        <v>0</v>
      </c>
      <c r="S107" s="47">
        <v>0</v>
      </c>
      <c r="T107" s="107">
        <v>0</v>
      </c>
      <c r="U107" s="27">
        <f t="shared" ref="U107" si="62">SUM(V107,X107)</f>
        <v>0</v>
      </c>
      <c r="V107" s="47">
        <v>0</v>
      </c>
      <c r="W107" s="47">
        <v>0</v>
      </c>
      <c r="X107" s="107">
        <v>0</v>
      </c>
    </row>
    <row r="108" spans="1:26" ht="27" customHeight="1" x14ac:dyDescent="0.3">
      <c r="A108" s="337"/>
      <c r="B108" s="338"/>
      <c r="C108" s="339"/>
      <c r="D108" s="377"/>
      <c r="E108" s="111">
        <v>9</v>
      </c>
      <c r="F108" s="339"/>
      <c r="G108" s="340"/>
      <c r="H108" s="203" t="s">
        <v>28</v>
      </c>
      <c r="I108" s="31"/>
      <c r="J108" s="28"/>
      <c r="K108" s="28"/>
      <c r="L108" s="113"/>
      <c r="M108" s="31"/>
      <c r="N108" s="28"/>
      <c r="O108" s="28"/>
      <c r="P108" s="204"/>
      <c r="Q108" s="31">
        <v>20</v>
      </c>
      <c r="R108" s="28"/>
      <c r="S108" s="28"/>
      <c r="T108" s="113">
        <v>20</v>
      </c>
      <c r="U108" s="31">
        <v>20</v>
      </c>
      <c r="V108" s="28"/>
      <c r="W108" s="28"/>
      <c r="X108" s="113">
        <v>20</v>
      </c>
    </row>
    <row r="109" spans="1:26" ht="27" customHeight="1" x14ac:dyDescent="0.3">
      <c r="A109" s="337"/>
      <c r="B109" s="338"/>
      <c r="C109" s="339"/>
      <c r="D109" s="377"/>
      <c r="E109" s="111">
        <v>22</v>
      </c>
      <c r="F109" s="339"/>
      <c r="G109" s="205" t="s">
        <v>108</v>
      </c>
      <c r="H109" s="108" t="s">
        <v>28</v>
      </c>
      <c r="I109" s="31"/>
      <c r="J109" s="28"/>
      <c r="K109" s="28"/>
      <c r="L109" s="113"/>
      <c r="M109" s="31">
        <v>4</v>
      </c>
      <c r="N109" s="28">
        <v>4</v>
      </c>
      <c r="O109" s="28"/>
      <c r="P109" s="204"/>
      <c r="Q109" s="31"/>
      <c r="R109" s="28"/>
      <c r="S109" s="28"/>
      <c r="T109" s="113"/>
      <c r="U109" s="31"/>
      <c r="V109" s="28"/>
      <c r="W109" s="28"/>
      <c r="X109" s="113"/>
    </row>
    <row r="110" spans="1:26" ht="24.75" customHeight="1" thickBot="1" x14ac:dyDescent="0.35">
      <c r="A110" s="337"/>
      <c r="B110" s="338"/>
      <c r="C110" s="339"/>
      <c r="D110" s="377"/>
      <c r="E110" s="111">
        <v>26</v>
      </c>
      <c r="F110" s="376"/>
      <c r="G110" s="206" t="s">
        <v>109</v>
      </c>
      <c r="H110" s="207" t="s">
        <v>28</v>
      </c>
      <c r="I110" s="31"/>
      <c r="J110" s="28"/>
      <c r="K110" s="28">
        <v>0</v>
      </c>
      <c r="L110" s="113">
        <v>0</v>
      </c>
      <c r="M110" s="31">
        <v>6</v>
      </c>
      <c r="N110" s="28">
        <v>6</v>
      </c>
      <c r="O110" s="28">
        <v>0</v>
      </c>
      <c r="P110" s="113">
        <v>0</v>
      </c>
      <c r="Q110" s="31">
        <f>SUM(R110,T110)</f>
        <v>0</v>
      </c>
      <c r="R110" s="28">
        <v>0</v>
      </c>
      <c r="S110" s="28">
        <v>0</v>
      </c>
      <c r="T110" s="113">
        <v>0</v>
      </c>
      <c r="U110" s="31">
        <f>SUM(V110,X110)</f>
        <v>0</v>
      </c>
      <c r="V110" s="28">
        <v>0</v>
      </c>
      <c r="W110" s="28">
        <v>0</v>
      </c>
      <c r="X110" s="113">
        <v>0</v>
      </c>
    </row>
    <row r="111" spans="1:26" ht="28.5" customHeight="1" thickBot="1" x14ac:dyDescent="0.35">
      <c r="A111" s="351"/>
      <c r="B111" s="353"/>
      <c r="C111" s="340"/>
      <c r="D111" s="383"/>
      <c r="E111" s="114"/>
      <c r="F111" s="348" t="s">
        <v>31</v>
      </c>
      <c r="G111" s="349"/>
      <c r="H111" s="354"/>
      <c r="I111" s="40">
        <f>J111+L111</f>
        <v>0</v>
      </c>
      <c r="J111" s="103">
        <f>J107</f>
        <v>0</v>
      </c>
      <c r="K111" s="103">
        <f>SUM(K107:K110)</f>
        <v>0</v>
      </c>
      <c r="L111" s="104">
        <f>SUM(L107:L110)</f>
        <v>0</v>
      </c>
      <c r="M111" s="40">
        <f>M107+M108+M109+M110</f>
        <v>210</v>
      </c>
      <c r="N111" s="103">
        <f>N107+N108+N109+N110</f>
        <v>210</v>
      </c>
      <c r="O111" s="103">
        <f>SUM(O107:O110)</f>
        <v>0</v>
      </c>
      <c r="P111" s="104">
        <f>SUM(P107:P110)</f>
        <v>0</v>
      </c>
      <c r="Q111" s="40">
        <f>SUM(R111,T111)</f>
        <v>20</v>
      </c>
      <c r="R111" s="103">
        <f>SUM(R107:R110)</f>
        <v>0</v>
      </c>
      <c r="S111" s="103">
        <f>SUM(S107:S110)</f>
        <v>0</v>
      </c>
      <c r="T111" s="104">
        <f>SUM(T107:T110)</f>
        <v>20</v>
      </c>
      <c r="U111" s="40">
        <f>SUM(V111,X111)</f>
        <v>20</v>
      </c>
      <c r="V111" s="103">
        <f>SUM(V107:V110)</f>
        <v>0</v>
      </c>
      <c r="W111" s="103">
        <f>SUM(W107:W110)</f>
        <v>0</v>
      </c>
      <c r="X111" s="104">
        <f>SUM(X107:X110)</f>
        <v>20</v>
      </c>
    </row>
    <row r="112" spans="1:26" ht="30" customHeight="1" thickBot="1" x14ac:dyDescent="0.35">
      <c r="A112" s="427">
        <v>4</v>
      </c>
      <c r="B112" s="428">
        <v>1</v>
      </c>
      <c r="C112" s="346">
        <v>3</v>
      </c>
      <c r="D112" s="429" t="s">
        <v>110</v>
      </c>
      <c r="E112" s="357">
        <v>2</v>
      </c>
      <c r="F112" s="208" t="s">
        <v>67</v>
      </c>
      <c r="G112" s="208" t="s">
        <v>111</v>
      </c>
      <c r="H112" s="108" t="s">
        <v>28</v>
      </c>
      <c r="I112" s="33">
        <v>35</v>
      </c>
      <c r="J112" s="34"/>
      <c r="K112" s="34"/>
      <c r="L112" s="197">
        <v>35</v>
      </c>
      <c r="M112" s="33">
        <v>6.5</v>
      </c>
      <c r="N112" s="34"/>
      <c r="O112" s="34"/>
      <c r="P112" s="197">
        <v>6.5</v>
      </c>
      <c r="Q112" s="33">
        <v>24</v>
      </c>
      <c r="R112" s="34"/>
      <c r="S112" s="34"/>
      <c r="T112" s="197">
        <v>24</v>
      </c>
      <c r="U112" s="33">
        <v>10</v>
      </c>
      <c r="V112" s="34"/>
      <c r="W112" s="34"/>
      <c r="X112" s="197">
        <v>10</v>
      </c>
    </row>
    <row r="113" spans="1:25" ht="29.25" customHeight="1" thickBot="1" x14ac:dyDescent="0.35">
      <c r="A113" s="427"/>
      <c r="B113" s="428"/>
      <c r="C113" s="346"/>
      <c r="D113" s="430"/>
      <c r="E113" s="431"/>
      <c r="F113" s="348" t="s">
        <v>31</v>
      </c>
      <c r="G113" s="349"/>
      <c r="H113" s="354"/>
      <c r="I113" s="40">
        <f>I112</f>
        <v>35</v>
      </c>
      <c r="J113" s="103"/>
      <c r="K113" s="103"/>
      <c r="L113" s="104">
        <f>L112</f>
        <v>35</v>
      </c>
      <c r="M113" s="40">
        <f>M112</f>
        <v>6.5</v>
      </c>
      <c r="N113" s="103"/>
      <c r="O113" s="103"/>
      <c r="P113" s="104">
        <f>P112</f>
        <v>6.5</v>
      </c>
      <c r="Q113" s="40">
        <f>Q112</f>
        <v>24</v>
      </c>
      <c r="R113" s="103"/>
      <c r="S113" s="103"/>
      <c r="T113" s="104">
        <f>T112</f>
        <v>24</v>
      </c>
      <c r="U113" s="40">
        <f>U112</f>
        <v>10</v>
      </c>
      <c r="V113" s="103"/>
      <c r="W113" s="103"/>
      <c r="X113" s="104">
        <f>X112</f>
        <v>10</v>
      </c>
    </row>
    <row r="114" spans="1:25" s="211" customFormat="1" ht="19.5" customHeight="1" x14ac:dyDescent="0.2">
      <c r="A114" s="434">
        <v>4</v>
      </c>
      <c r="B114" s="435">
        <v>1</v>
      </c>
      <c r="C114" s="346">
        <v>4</v>
      </c>
      <c r="D114" s="359" t="s">
        <v>112</v>
      </c>
      <c r="E114" s="436" t="s">
        <v>60</v>
      </c>
      <c r="F114" s="390" t="s">
        <v>67</v>
      </c>
      <c r="G114" s="401" t="s">
        <v>113</v>
      </c>
      <c r="H114" s="209" t="s">
        <v>28</v>
      </c>
      <c r="I114" s="210">
        <v>0.5</v>
      </c>
      <c r="J114" s="85">
        <v>0.5</v>
      </c>
      <c r="K114" s="85">
        <v>0.4</v>
      </c>
      <c r="L114" s="60"/>
      <c r="M114" s="210">
        <v>231.3</v>
      </c>
      <c r="N114" s="85">
        <v>25.7</v>
      </c>
      <c r="O114" s="85">
        <v>10.199999999999999</v>
      </c>
      <c r="P114" s="60">
        <v>205.6</v>
      </c>
      <c r="Q114" s="43">
        <f t="shared" ref="Q114" si="63">SUM(R114,T114)</f>
        <v>0</v>
      </c>
      <c r="R114" s="47"/>
      <c r="S114" s="47">
        <v>0</v>
      </c>
      <c r="T114" s="48"/>
      <c r="U114" s="43">
        <f t="shared" ref="U114" si="64">SUM(V114,X114)</f>
        <v>0</v>
      </c>
      <c r="V114" s="47"/>
      <c r="W114" s="47">
        <v>0</v>
      </c>
      <c r="X114" s="48"/>
    </row>
    <row r="115" spans="1:25" s="211" customFormat="1" ht="20.25" customHeight="1" x14ac:dyDescent="0.2">
      <c r="A115" s="434"/>
      <c r="B115" s="435"/>
      <c r="C115" s="346"/>
      <c r="D115" s="359"/>
      <c r="E115" s="436"/>
      <c r="F115" s="339"/>
      <c r="G115" s="402"/>
      <c r="H115" s="209" t="s">
        <v>70</v>
      </c>
      <c r="I115" s="212"/>
      <c r="J115" s="88"/>
      <c r="K115" s="88"/>
      <c r="L115" s="89"/>
      <c r="M115" s="212">
        <v>265.8</v>
      </c>
      <c r="N115" s="88">
        <v>31.5</v>
      </c>
      <c r="O115" s="88">
        <v>12.9</v>
      </c>
      <c r="P115" s="89">
        <v>234.3</v>
      </c>
      <c r="Q115" s="45"/>
      <c r="R115" s="34"/>
      <c r="S115" s="34"/>
      <c r="T115" s="35"/>
      <c r="U115" s="45"/>
      <c r="V115" s="34"/>
      <c r="W115" s="34"/>
      <c r="X115" s="35"/>
    </row>
    <row r="116" spans="1:25" s="211" customFormat="1" ht="18.75" customHeight="1" x14ac:dyDescent="0.2">
      <c r="A116" s="434"/>
      <c r="B116" s="435"/>
      <c r="C116" s="346"/>
      <c r="D116" s="359"/>
      <c r="E116" s="436"/>
      <c r="F116" s="339"/>
      <c r="G116" s="402"/>
      <c r="H116" s="108" t="s">
        <v>114</v>
      </c>
      <c r="I116" s="212"/>
      <c r="J116" s="88"/>
      <c r="K116" s="88"/>
      <c r="L116" s="89"/>
      <c r="M116" s="212"/>
      <c r="N116" s="88"/>
      <c r="O116" s="88"/>
      <c r="P116" s="89"/>
      <c r="Q116" s="45"/>
      <c r="R116" s="34"/>
      <c r="S116" s="34"/>
      <c r="T116" s="35"/>
      <c r="U116" s="45"/>
      <c r="V116" s="34"/>
      <c r="W116" s="34"/>
      <c r="X116" s="35"/>
      <c r="Y116" s="213"/>
    </row>
    <row r="117" spans="1:25" s="211" customFormat="1" ht="18.75" customHeight="1" thickBot="1" x14ac:dyDescent="0.25">
      <c r="A117" s="434"/>
      <c r="B117" s="435"/>
      <c r="C117" s="346"/>
      <c r="D117" s="359"/>
      <c r="E117" s="436"/>
      <c r="F117" s="376"/>
      <c r="G117" s="432"/>
      <c r="H117" s="44" t="s">
        <v>115</v>
      </c>
      <c r="I117" s="214"/>
      <c r="J117" s="155"/>
      <c r="K117" s="155"/>
      <c r="L117" s="215"/>
      <c r="M117" s="214"/>
      <c r="N117" s="155"/>
      <c r="O117" s="155"/>
      <c r="P117" s="215"/>
      <c r="Q117" s="38"/>
      <c r="R117" s="216"/>
      <c r="S117" s="216"/>
      <c r="T117" s="217"/>
      <c r="U117" s="38"/>
      <c r="V117" s="216"/>
      <c r="W117" s="216"/>
      <c r="X117" s="217"/>
    </row>
    <row r="118" spans="1:25" s="18" customFormat="1" ht="19.5" customHeight="1" thickBot="1" x14ac:dyDescent="0.25">
      <c r="A118" s="434"/>
      <c r="B118" s="435"/>
      <c r="C118" s="346"/>
      <c r="D118" s="359"/>
      <c r="E118" s="437"/>
      <c r="F118" s="384" t="s">
        <v>31</v>
      </c>
      <c r="G118" s="385"/>
      <c r="H118" s="386"/>
      <c r="I118" s="129">
        <f t="shared" ref="I118:I122" si="65">J118+L118</f>
        <v>0.5</v>
      </c>
      <c r="J118" s="122">
        <f>J114+J115+J116+J117</f>
        <v>0.5</v>
      </c>
      <c r="K118" s="122">
        <f>K114+K115+K116+K117</f>
        <v>0.4</v>
      </c>
      <c r="L118" s="123">
        <f>L114+L115+L116+L117</f>
        <v>0</v>
      </c>
      <c r="M118" s="129">
        <f t="shared" ref="M118" si="66">N118+P118</f>
        <v>497.09999999999997</v>
      </c>
      <c r="N118" s="122">
        <f>N114+N115+N116+N117</f>
        <v>57.2</v>
      </c>
      <c r="O118" s="122">
        <f>O114+O115+O116+O117</f>
        <v>23.1</v>
      </c>
      <c r="P118" s="123">
        <f>P114+P115+P116+P117</f>
        <v>439.9</v>
      </c>
      <c r="Q118" s="129"/>
      <c r="R118" s="122"/>
      <c r="S118" s="122"/>
      <c r="T118" s="123"/>
      <c r="U118" s="129"/>
      <c r="V118" s="122"/>
      <c r="W118" s="122"/>
      <c r="X118" s="123"/>
    </row>
    <row r="119" spans="1:25" s="18" customFormat="1" ht="72" customHeight="1" thickBot="1" x14ac:dyDescent="0.25">
      <c r="A119" s="350">
        <v>4</v>
      </c>
      <c r="B119" s="352">
        <v>1</v>
      </c>
      <c r="C119" s="347">
        <v>5</v>
      </c>
      <c r="D119" s="355" t="s">
        <v>116</v>
      </c>
      <c r="E119" s="433">
        <v>2</v>
      </c>
      <c r="F119" s="99" t="s">
        <v>67</v>
      </c>
      <c r="G119" s="99" t="s">
        <v>117</v>
      </c>
      <c r="H119" s="193" t="s">
        <v>28</v>
      </c>
      <c r="I119" s="27">
        <f t="shared" si="65"/>
        <v>50</v>
      </c>
      <c r="J119" s="47">
        <v>50</v>
      </c>
      <c r="K119" s="47"/>
      <c r="L119" s="107"/>
      <c r="M119" s="27">
        <v>100</v>
      </c>
      <c r="N119" s="47">
        <v>100</v>
      </c>
      <c r="O119" s="47"/>
      <c r="P119" s="107">
        <v>0</v>
      </c>
      <c r="Q119" s="27">
        <v>100</v>
      </c>
      <c r="R119" s="47">
        <v>100</v>
      </c>
      <c r="S119" s="47"/>
      <c r="T119" s="107">
        <v>0</v>
      </c>
      <c r="U119" s="27">
        <v>150</v>
      </c>
      <c r="V119" s="47">
        <v>150</v>
      </c>
      <c r="W119" s="47"/>
      <c r="X119" s="107">
        <v>0</v>
      </c>
    </row>
    <row r="120" spans="1:25" s="18" customFormat="1" ht="49.5" customHeight="1" thickBot="1" x14ac:dyDescent="0.25">
      <c r="A120" s="337"/>
      <c r="B120" s="338"/>
      <c r="C120" s="339"/>
      <c r="D120" s="341"/>
      <c r="E120" s="366"/>
      <c r="F120" s="348" t="s">
        <v>31</v>
      </c>
      <c r="G120" s="349"/>
      <c r="H120" s="354"/>
      <c r="I120" s="40">
        <f t="shared" si="65"/>
        <v>50</v>
      </c>
      <c r="J120" s="103">
        <f>J119</f>
        <v>50</v>
      </c>
      <c r="K120" s="103"/>
      <c r="L120" s="104"/>
      <c r="M120" s="40">
        <v>100</v>
      </c>
      <c r="N120" s="103">
        <v>100</v>
      </c>
      <c r="O120" s="103"/>
      <c r="P120" s="104">
        <f>SUM(P119)</f>
        <v>0</v>
      </c>
      <c r="Q120" s="40">
        <f>SUM(R120,T120)</f>
        <v>100</v>
      </c>
      <c r="R120" s="103">
        <v>100</v>
      </c>
      <c r="S120" s="103"/>
      <c r="T120" s="104">
        <f>SUM(T119)</f>
        <v>0</v>
      </c>
      <c r="U120" s="40">
        <f>U119</f>
        <v>150</v>
      </c>
      <c r="V120" s="103">
        <f>V119</f>
        <v>150</v>
      </c>
      <c r="W120" s="103"/>
      <c r="X120" s="104">
        <f>SUM(X119)</f>
        <v>0</v>
      </c>
    </row>
    <row r="121" spans="1:25" s="18" customFormat="1" ht="27.75" customHeight="1" thickBot="1" x14ac:dyDescent="0.25">
      <c r="A121" s="350">
        <v>4</v>
      </c>
      <c r="B121" s="445">
        <v>1</v>
      </c>
      <c r="C121" s="447">
        <v>6</v>
      </c>
      <c r="D121" s="449" t="s">
        <v>118</v>
      </c>
      <c r="E121" s="451">
        <v>2</v>
      </c>
      <c r="F121" s="99" t="s">
        <v>67</v>
      </c>
      <c r="G121" s="99" t="s">
        <v>119</v>
      </c>
      <c r="H121" s="193" t="s">
        <v>28</v>
      </c>
      <c r="I121" s="27">
        <f t="shared" si="65"/>
        <v>0</v>
      </c>
      <c r="J121" s="47"/>
      <c r="K121" s="47"/>
      <c r="L121" s="107"/>
      <c r="M121" s="27">
        <v>30</v>
      </c>
      <c r="N121" s="47"/>
      <c r="O121" s="47"/>
      <c r="P121" s="107">
        <v>30</v>
      </c>
      <c r="Q121" s="27">
        <v>230</v>
      </c>
      <c r="R121" s="47"/>
      <c r="S121" s="47"/>
      <c r="T121" s="107">
        <v>230</v>
      </c>
      <c r="U121" s="27">
        <v>300</v>
      </c>
      <c r="V121" s="47"/>
      <c r="W121" s="47"/>
      <c r="X121" s="107">
        <v>300</v>
      </c>
    </row>
    <row r="122" spans="1:25" s="218" customFormat="1" ht="36" customHeight="1" thickBot="1" x14ac:dyDescent="0.3">
      <c r="A122" s="351"/>
      <c r="B122" s="446"/>
      <c r="C122" s="448"/>
      <c r="D122" s="450"/>
      <c r="E122" s="452"/>
      <c r="F122" s="348" t="s">
        <v>31</v>
      </c>
      <c r="G122" s="349"/>
      <c r="H122" s="354"/>
      <c r="I122" s="40">
        <f t="shared" si="65"/>
        <v>0</v>
      </c>
      <c r="J122" s="103"/>
      <c r="K122" s="103"/>
      <c r="L122" s="104">
        <f>L121</f>
        <v>0</v>
      </c>
      <c r="M122" s="40">
        <f>N122+P122</f>
        <v>30</v>
      </c>
      <c r="N122" s="103"/>
      <c r="O122" s="103"/>
      <c r="P122" s="104">
        <f>P121</f>
        <v>30</v>
      </c>
      <c r="Q122" s="40">
        <f>SUM(R122,T122)</f>
        <v>230</v>
      </c>
      <c r="R122" s="103"/>
      <c r="S122" s="103"/>
      <c r="T122" s="104">
        <f>SUM(T121)</f>
        <v>230</v>
      </c>
      <c r="U122" s="40">
        <f>SUM(V122,X122)</f>
        <v>300</v>
      </c>
      <c r="V122" s="103"/>
      <c r="W122" s="103"/>
      <c r="X122" s="104">
        <f>SUM(X121)</f>
        <v>300</v>
      </c>
    </row>
    <row r="123" spans="1:25" ht="29.25" customHeight="1" thickBot="1" x14ac:dyDescent="0.35">
      <c r="A123" s="438">
        <v>4</v>
      </c>
      <c r="B123" s="439">
        <v>1</v>
      </c>
      <c r="C123" s="440">
        <v>7</v>
      </c>
      <c r="D123" s="342" t="s">
        <v>120</v>
      </c>
      <c r="E123" s="443">
        <v>2</v>
      </c>
      <c r="F123" s="219" t="s">
        <v>67</v>
      </c>
      <c r="G123" s="220" t="s">
        <v>121</v>
      </c>
      <c r="H123" s="221" t="s">
        <v>28</v>
      </c>
      <c r="I123" s="37">
        <v>14.8</v>
      </c>
      <c r="J123" s="216">
        <v>14.8</v>
      </c>
      <c r="K123" s="216">
        <v>0</v>
      </c>
      <c r="L123" s="217">
        <v>0</v>
      </c>
      <c r="M123" s="38">
        <v>20</v>
      </c>
      <c r="N123" s="216">
        <v>20</v>
      </c>
      <c r="O123" s="216">
        <v>0</v>
      </c>
      <c r="P123" s="217">
        <v>0</v>
      </c>
      <c r="Q123" s="38">
        <v>30</v>
      </c>
      <c r="R123" s="216">
        <v>30</v>
      </c>
      <c r="S123" s="216">
        <v>0</v>
      </c>
      <c r="T123" s="217">
        <v>0</v>
      </c>
      <c r="U123" s="38">
        <v>30</v>
      </c>
      <c r="V123" s="216">
        <v>30</v>
      </c>
      <c r="W123" s="216">
        <v>0</v>
      </c>
      <c r="X123" s="217">
        <v>0</v>
      </c>
      <c r="Y123" s="17"/>
    </row>
    <row r="124" spans="1:25" ht="54.75" customHeight="1" thickBot="1" x14ac:dyDescent="0.35">
      <c r="A124" s="438"/>
      <c r="B124" s="439"/>
      <c r="C124" s="441"/>
      <c r="D124" s="442"/>
      <c r="E124" s="444"/>
      <c r="F124" s="348" t="s">
        <v>31</v>
      </c>
      <c r="G124" s="349"/>
      <c r="H124" s="354"/>
      <c r="I124" s="222">
        <f>I123</f>
        <v>14.8</v>
      </c>
      <c r="J124" s="223">
        <f>J123</f>
        <v>14.8</v>
      </c>
      <c r="K124" s="223">
        <f>SUM(K123)</f>
        <v>0</v>
      </c>
      <c r="L124" s="224">
        <f>SUM(L123)</f>
        <v>0</v>
      </c>
      <c r="M124" s="225">
        <f t="shared" ref="M124" si="67">SUM(N124,P124)</f>
        <v>20</v>
      </c>
      <c r="N124" s="223">
        <f>SUM(N123)</f>
        <v>20</v>
      </c>
      <c r="O124" s="223">
        <f>SUM(O123)</f>
        <v>0</v>
      </c>
      <c r="P124" s="224">
        <f>SUM(P123)</f>
        <v>0</v>
      </c>
      <c r="Q124" s="225">
        <f t="shared" ref="Q124" si="68">SUM(R124,T124)</f>
        <v>30</v>
      </c>
      <c r="R124" s="223">
        <f>SUM(R123)</f>
        <v>30</v>
      </c>
      <c r="S124" s="223">
        <f>SUM(S123)</f>
        <v>0</v>
      </c>
      <c r="T124" s="226">
        <f>SUM(T123)</f>
        <v>0</v>
      </c>
      <c r="U124" s="40">
        <f t="shared" ref="U124" si="69">SUM(V124,X124)</f>
        <v>30</v>
      </c>
      <c r="V124" s="223">
        <f>SUM(V123)</f>
        <v>30</v>
      </c>
      <c r="W124" s="223">
        <f>SUM(W123)</f>
        <v>0</v>
      </c>
      <c r="X124" s="224">
        <f>SUM(X123)</f>
        <v>0</v>
      </c>
      <c r="Y124" s="17"/>
    </row>
    <row r="125" spans="1:25" s="218" customFormat="1" ht="27" customHeight="1" thickBot="1" x14ac:dyDescent="0.3">
      <c r="A125" s="92">
        <v>4</v>
      </c>
      <c r="B125" s="199">
        <v>1</v>
      </c>
      <c r="C125" s="453" t="s">
        <v>61</v>
      </c>
      <c r="D125" s="454"/>
      <c r="E125" s="454"/>
      <c r="F125" s="454"/>
      <c r="G125" s="454"/>
      <c r="H125" s="455"/>
      <c r="I125" s="136">
        <f t="shared" ref="I125:S125" si="70">I106+I111+I113+I118+I120+I122+I124</f>
        <v>116.5</v>
      </c>
      <c r="J125" s="137">
        <f t="shared" si="70"/>
        <v>81.5</v>
      </c>
      <c r="K125" s="137">
        <f t="shared" si="70"/>
        <v>0.4</v>
      </c>
      <c r="L125" s="137">
        <f t="shared" si="70"/>
        <v>35</v>
      </c>
      <c r="M125" s="136">
        <f t="shared" si="70"/>
        <v>883.59999999999991</v>
      </c>
      <c r="N125" s="137">
        <f t="shared" si="70"/>
        <v>407.2</v>
      </c>
      <c r="O125" s="137">
        <f t="shared" si="70"/>
        <v>23.1</v>
      </c>
      <c r="P125" s="137">
        <f t="shared" si="70"/>
        <v>476.4</v>
      </c>
      <c r="Q125" s="136">
        <f>Q106+Q111+Q113+Q120+Q122+Q124</f>
        <v>454</v>
      </c>
      <c r="R125" s="137">
        <f>R106+R120+R124</f>
        <v>180</v>
      </c>
      <c r="S125" s="137">
        <f t="shared" si="70"/>
        <v>0</v>
      </c>
      <c r="T125" s="137">
        <f>T111+T113+T122</f>
        <v>274</v>
      </c>
      <c r="U125" s="136">
        <f>U106+U111+U113+U120+U122+U124</f>
        <v>560</v>
      </c>
      <c r="V125" s="137">
        <f>V106+V120+V124</f>
        <v>230</v>
      </c>
      <c r="W125" s="137">
        <f>W106+W111+W113+W118+W120+W122+W124</f>
        <v>0</v>
      </c>
      <c r="X125" s="187">
        <f>X111+X113+X122</f>
        <v>330</v>
      </c>
    </row>
    <row r="126" spans="1:25" s="218" customFormat="1" ht="13.8" thickBot="1" x14ac:dyDescent="0.3">
      <c r="A126" s="227">
        <v>4</v>
      </c>
      <c r="B126" s="228">
        <v>2</v>
      </c>
      <c r="C126" s="370" t="s">
        <v>122</v>
      </c>
      <c r="D126" s="371"/>
      <c r="E126" s="371"/>
      <c r="F126" s="371"/>
      <c r="G126" s="371"/>
      <c r="H126" s="371"/>
      <c r="I126" s="371"/>
      <c r="J126" s="371"/>
      <c r="K126" s="371"/>
      <c r="L126" s="371"/>
      <c r="M126" s="371"/>
      <c r="N126" s="371"/>
      <c r="O126" s="371"/>
      <c r="P126" s="371"/>
      <c r="Q126" s="371"/>
      <c r="R126" s="371"/>
      <c r="S126" s="371"/>
      <c r="T126" s="371"/>
      <c r="U126" s="371"/>
      <c r="V126" s="371"/>
      <c r="W126" s="371"/>
      <c r="X126" s="422"/>
    </row>
    <row r="127" spans="1:25" s="218" customFormat="1" ht="21.75" customHeight="1" x14ac:dyDescent="0.25">
      <c r="A127" s="351">
        <v>4</v>
      </c>
      <c r="B127" s="353">
        <v>2</v>
      </c>
      <c r="C127" s="340">
        <v>1</v>
      </c>
      <c r="D127" s="342" t="s">
        <v>123</v>
      </c>
      <c r="E127" s="229">
        <v>26</v>
      </c>
      <c r="F127" s="340" t="s">
        <v>67</v>
      </c>
      <c r="G127" s="340" t="s">
        <v>124</v>
      </c>
      <c r="H127" s="230" t="s">
        <v>28</v>
      </c>
      <c r="I127" s="52">
        <v>20</v>
      </c>
      <c r="J127" s="152"/>
      <c r="K127" s="191"/>
      <c r="L127" s="29">
        <v>20</v>
      </c>
      <c r="M127" s="52">
        <v>12</v>
      </c>
      <c r="N127" s="28"/>
      <c r="O127" s="191"/>
      <c r="P127" s="192">
        <v>12</v>
      </c>
      <c r="Q127" s="52"/>
      <c r="R127" s="28"/>
      <c r="S127" s="191"/>
      <c r="T127" s="192"/>
      <c r="U127" s="52"/>
      <c r="V127" s="28"/>
      <c r="W127" s="191"/>
      <c r="X127" s="192"/>
    </row>
    <row r="128" spans="1:25" s="218" customFormat="1" ht="21.75" customHeight="1" x14ac:dyDescent="0.25">
      <c r="A128" s="351"/>
      <c r="B128" s="353"/>
      <c r="C128" s="340"/>
      <c r="D128" s="342"/>
      <c r="E128" s="229" t="s">
        <v>60</v>
      </c>
      <c r="F128" s="339"/>
      <c r="G128" s="339"/>
      <c r="H128" s="51" t="s">
        <v>28</v>
      </c>
      <c r="I128" s="52">
        <v>14</v>
      </c>
      <c r="J128" s="152"/>
      <c r="K128" s="191"/>
      <c r="L128" s="29">
        <v>14</v>
      </c>
      <c r="M128" s="52"/>
      <c r="N128" s="28"/>
      <c r="O128" s="191"/>
      <c r="P128" s="192"/>
      <c r="Q128" s="52"/>
      <c r="R128" s="28"/>
      <c r="S128" s="191"/>
      <c r="T128" s="192"/>
      <c r="U128" s="52"/>
      <c r="V128" s="28"/>
      <c r="W128" s="191"/>
      <c r="X128" s="192"/>
    </row>
    <row r="129" spans="1:33" s="218" customFormat="1" ht="21.75" customHeight="1" x14ac:dyDescent="0.25">
      <c r="A129" s="351"/>
      <c r="B129" s="353"/>
      <c r="C129" s="340"/>
      <c r="D129" s="342"/>
      <c r="E129" s="346">
        <v>2</v>
      </c>
      <c r="F129" s="339"/>
      <c r="G129" s="339"/>
      <c r="H129" s="231" t="s">
        <v>28</v>
      </c>
      <c r="I129" s="52"/>
      <c r="J129" s="152"/>
      <c r="K129" s="191">
        <v>0</v>
      </c>
      <c r="L129" s="29"/>
      <c r="M129" s="52">
        <v>23</v>
      </c>
      <c r="N129" s="28"/>
      <c r="O129" s="191"/>
      <c r="P129" s="192">
        <v>23</v>
      </c>
      <c r="Q129" s="52">
        <v>35</v>
      </c>
      <c r="R129" s="28"/>
      <c r="S129" s="191">
        <v>0</v>
      </c>
      <c r="T129" s="192">
        <v>35</v>
      </c>
      <c r="U129" s="52"/>
      <c r="V129" s="28"/>
      <c r="W129" s="191"/>
      <c r="X129" s="192"/>
    </row>
    <row r="130" spans="1:33" s="218" customFormat="1" ht="21.75" customHeight="1" thickBot="1" x14ac:dyDescent="0.3">
      <c r="A130" s="427"/>
      <c r="B130" s="428"/>
      <c r="C130" s="346"/>
      <c r="D130" s="442"/>
      <c r="E130" s="346"/>
      <c r="F130" s="456"/>
      <c r="G130" s="347"/>
      <c r="H130" s="232" t="s">
        <v>70</v>
      </c>
      <c r="I130" s="233">
        <v>1.1000000000000001</v>
      </c>
      <c r="J130" s="234">
        <v>1.1000000000000001</v>
      </c>
      <c r="K130" s="235">
        <v>0.5</v>
      </c>
      <c r="L130" s="175"/>
      <c r="M130" s="150"/>
      <c r="N130" s="236"/>
      <c r="O130" s="236"/>
      <c r="P130" s="237"/>
      <c r="Q130" s="176">
        <f>SUM(R130,T130)</f>
        <v>0</v>
      </c>
      <c r="R130" s="236">
        <v>0</v>
      </c>
      <c r="S130" s="236">
        <v>0</v>
      </c>
      <c r="T130" s="237"/>
      <c r="U130" s="176">
        <f>SUM(V130,X130)</f>
        <v>0</v>
      </c>
      <c r="V130" s="236">
        <v>0</v>
      </c>
      <c r="W130" s="236">
        <v>0</v>
      </c>
      <c r="X130" s="237"/>
    </row>
    <row r="131" spans="1:33" s="240" customFormat="1" ht="21.75" customHeight="1" thickBot="1" x14ac:dyDescent="0.35">
      <c r="A131" s="427"/>
      <c r="B131" s="428"/>
      <c r="C131" s="346"/>
      <c r="D131" s="442"/>
      <c r="E131" s="238"/>
      <c r="F131" s="348" t="s">
        <v>31</v>
      </c>
      <c r="G131" s="349"/>
      <c r="H131" s="354"/>
      <c r="I131" s="225">
        <f>I127+I128+I130</f>
        <v>35.1</v>
      </c>
      <c r="J131" s="239">
        <f>J130+J129</f>
        <v>1.1000000000000001</v>
      </c>
      <c r="K131" s="239">
        <f t="shared" ref="K131" si="71">K130+K129</f>
        <v>0.5</v>
      </c>
      <c r="L131" s="239">
        <f>L127+L128+L129+L130</f>
        <v>34</v>
      </c>
      <c r="M131" s="40">
        <f>M127+M128+M129+M130</f>
        <v>35</v>
      </c>
      <c r="N131" s="41">
        <f t="shared" ref="N131:X131" si="72">N129</f>
        <v>0</v>
      </c>
      <c r="O131" s="41">
        <f t="shared" si="72"/>
        <v>0</v>
      </c>
      <c r="P131" s="42">
        <f>P127+P128+P129+P130</f>
        <v>35</v>
      </c>
      <c r="Q131" s="40">
        <f>Q129</f>
        <v>35</v>
      </c>
      <c r="R131" s="41">
        <f t="shared" ref="R131:T131" si="73">R129</f>
        <v>0</v>
      </c>
      <c r="S131" s="41">
        <f t="shared" si="73"/>
        <v>0</v>
      </c>
      <c r="T131" s="42">
        <f t="shared" si="73"/>
        <v>35</v>
      </c>
      <c r="U131" s="40">
        <f>U129</f>
        <v>0</v>
      </c>
      <c r="V131" s="41">
        <f t="shared" si="72"/>
        <v>0</v>
      </c>
      <c r="W131" s="41">
        <f t="shared" si="72"/>
        <v>0</v>
      </c>
      <c r="X131" s="42">
        <f t="shared" si="72"/>
        <v>0</v>
      </c>
    </row>
    <row r="132" spans="1:33" ht="25.2" customHeight="1" x14ac:dyDescent="0.3">
      <c r="A132" s="466">
        <v>4</v>
      </c>
      <c r="B132" s="387">
        <v>2</v>
      </c>
      <c r="C132" s="469">
        <v>2</v>
      </c>
      <c r="D132" s="342" t="s">
        <v>125</v>
      </c>
      <c r="E132" s="241">
        <v>2</v>
      </c>
      <c r="F132" s="472" t="s">
        <v>67</v>
      </c>
      <c r="G132" s="106" t="s">
        <v>126</v>
      </c>
      <c r="H132" s="242" t="s">
        <v>28</v>
      </c>
      <c r="I132" s="86">
        <f>J132+L132</f>
        <v>0</v>
      </c>
      <c r="J132" s="85">
        <f>5-5</f>
        <v>0</v>
      </c>
      <c r="K132" s="85"/>
      <c r="L132" s="60"/>
      <c r="M132" s="86">
        <v>15</v>
      </c>
      <c r="N132" s="85">
        <v>15</v>
      </c>
      <c r="O132" s="85"/>
      <c r="P132" s="60"/>
      <c r="Q132" s="86">
        <v>30</v>
      </c>
      <c r="R132" s="85">
        <v>30</v>
      </c>
      <c r="S132" s="85"/>
      <c r="T132" s="60"/>
      <c r="U132" s="86">
        <v>30</v>
      </c>
      <c r="V132" s="85">
        <v>30</v>
      </c>
      <c r="W132" s="85"/>
      <c r="X132" s="60"/>
    </row>
    <row r="133" spans="1:33" ht="25.2" customHeight="1" thickBot="1" x14ac:dyDescent="0.35">
      <c r="A133" s="466"/>
      <c r="B133" s="387"/>
      <c r="C133" s="379"/>
      <c r="D133" s="341"/>
      <c r="E133" s="243">
        <v>26</v>
      </c>
      <c r="F133" s="473"/>
      <c r="G133" s="117" t="s">
        <v>127</v>
      </c>
      <c r="H133" s="244" t="s">
        <v>28</v>
      </c>
      <c r="I133" s="245">
        <v>12.8</v>
      </c>
      <c r="J133" s="156">
        <v>12.8</v>
      </c>
      <c r="K133" s="156"/>
      <c r="L133" s="157"/>
      <c r="M133" s="245"/>
      <c r="N133" s="156"/>
      <c r="O133" s="156"/>
      <c r="P133" s="157"/>
      <c r="Q133" s="245"/>
      <c r="R133" s="156"/>
      <c r="S133" s="156"/>
      <c r="T133" s="157"/>
      <c r="U133" s="245"/>
      <c r="V133" s="156"/>
      <c r="W133" s="156"/>
      <c r="X133" s="157"/>
    </row>
    <row r="134" spans="1:33" ht="25.2" customHeight="1" thickBot="1" x14ac:dyDescent="0.35">
      <c r="A134" s="467"/>
      <c r="B134" s="468"/>
      <c r="C134" s="470"/>
      <c r="D134" s="471"/>
      <c r="E134" s="246"/>
      <c r="F134" s="384" t="s">
        <v>31</v>
      </c>
      <c r="G134" s="385"/>
      <c r="H134" s="386"/>
      <c r="I134" s="124">
        <f>I133</f>
        <v>12.8</v>
      </c>
      <c r="J134" s="122">
        <f>J133</f>
        <v>12.8</v>
      </c>
      <c r="K134" s="122"/>
      <c r="L134" s="123"/>
      <c r="M134" s="124">
        <f t="shared" ref="M134:X134" si="74">M132</f>
        <v>15</v>
      </c>
      <c r="N134" s="122">
        <f t="shared" si="74"/>
        <v>15</v>
      </c>
      <c r="O134" s="122">
        <f t="shared" si="74"/>
        <v>0</v>
      </c>
      <c r="P134" s="123">
        <f t="shared" si="74"/>
        <v>0</v>
      </c>
      <c r="Q134" s="124">
        <f t="shared" si="74"/>
        <v>30</v>
      </c>
      <c r="R134" s="122">
        <f t="shared" si="74"/>
        <v>30</v>
      </c>
      <c r="S134" s="122">
        <f t="shared" si="74"/>
        <v>0</v>
      </c>
      <c r="T134" s="123">
        <f t="shared" si="74"/>
        <v>0</v>
      </c>
      <c r="U134" s="124">
        <f t="shared" si="74"/>
        <v>30</v>
      </c>
      <c r="V134" s="122">
        <f t="shared" si="74"/>
        <v>30</v>
      </c>
      <c r="W134" s="122">
        <f t="shared" si="74"/>
        <v>0</v>
      </c>
      <c r="X134" s="123">
        <f t="shared" si="74"/>
        <v>0</v>
      </c>
    </row>
    <row r="135" spans="1:33" ht="24.75" customHeight="1" thickBot="1" x14ac:dyDescent="0.35">
      <c r="A135" s="185">
        <v>4</v>
      </c>
      <c r="B135" s="247">
        <v>2</v>
      </c>
      <c r="C135" s="453" t="s">
        <v>61</v>
      </c>
      <c r="D135" s="454"/>
      <c r="E135" s="454"/>
      <c r="F135" s="454"/>
      <c r="G135" s="454"/>
      <c r="H135" s="455"/>
      <c r="I135" s="136">
        <f>I131+I134</f>
        <v>47.900000000000006</v>
      </c>
      <c r="J135" s="137">
        <f>J131+J134</f>
        <v>13.9</v>
      </c>
      <c r="K135" s="137">
        <f>K131</f>
        <v>0.5</v>
      </c>
      <c r="L135" s="187">
        <f>L131</f>
        <v>34</v>
      </c>
      <c r="M135" s="136">
        <f>M131+M134</f>
        <v>50</v>
      </c>
      <c r="N135" s="137">
        <f>N134</f>
        <v>15</v>
      </c>
      <c r="O135" s="137"/>
      <c r="P135" s="187">
        <f>P131</f>
        <v>35</v>
      </c>
      <c r="Q135" s="136">
        <f>Q131+Q134</f>
        <v>65</v>
      </c>
      <c r="R135" s="137">
        <f>R134</f>
        <v>30</v>
      </c>
      <c r="S135" s="137"/>
      <c r="T135" s="187">
        <f>T131</f>
        <v>35</v>
      </c>
      <c r="U135" s="136">
        <f>U131+U134</f>
        <v>30</v>
      </c>
      <c r="V135" s="137">
        <f>V131+V134</f>
        <v>30</v>
      </c>
      <c r="W135" s="137"/>
      <c r="X135" s="187">
        <f>X131</f>
        <v>0</v>
      </c>
    </row>
    <row r="136" spans="1:33" ht="15" customHeight="1" thickBot="1" x14ac:dyDescent="0.35">
      <c r="A136" s="140">
        <v>4</v>
      </c>
      <c r="B136" s="418" t="s">
        <v>76</v>
      </c>
      <c r="C136" s="419"/>
      <c r="D136" s="419"/>
      <c r="E136" s="419"/>
      <c r="F136" s="419"/>
      <c r="G136" s="419"/>
      <c r="H136" s="420"/>
      <c r="I136" s="144">
        <f>I125+I135</f>
        <v>164.4</v>
      </c>
      <c r="J136" s="143">
        <f>J125+J135</f>
        <v>95.4</v>
      </c>
      <c r="K136" s="143">
        <f>K125+K135</f>
        <v>0.9</v>
      </c>
      <c r="L136" s="145">
        <f>L125+L135</f>
        <v>69</v>
      </c>
      <c r="M136" s="145">
        <f>M125+M135</f>
        <v>933.59999999999991</v>
      </c>
      <c r="N136" s="145">
        <f t="shared" ref="N136:R136" si="75">N125+N135</f>
        <v>422.2</v>
      </c>
      <c r="O136" s="145">
        <f t="shared" si="75"/>
        <v>23.1</v>
      </c>
      <c r="P136" s="145">
        <f>P125+P135</f>
        <v>511.4</v>
      </c>
      <c r="Q136" s="144">
        <f>Q125+Q135</f>
        <v>519</v>
      </c>
      <c r="R136" s="143">
        <f t="shared" si="75"/>
        <v>210</v>
      </c>
      <c r="S136" s="143">
        <f>SUM(S135,S125)</f>
        <v>0</v>
      </c>
      <c r="T136" s="145">
        <f>T125+T135</f>
        <v>309</v>
      </c>
      <c r="U136" s="145">
        <f>U125+U135</f>
        <v>590</v>
      </c>
      <c r="V136" s="143">
        <f>V125+V135</f>
        <v>260</v>
      </c>
      <c r="W136" s="143">
        <f>SUM(W135,W125)</f>
        <v>0</v>
      </c>
      <c r="X136" s="145">
        <f>X125</f>
        <v>330</v>
      </c>
    </row>
    <row r="137" spans="1:33" ht="15" customHeight="1" thickBot="1" x14ac:dyDescent="0.35">
      <c r="A137" s="457" t="s">
        <v>128</v>
      </c>
      <c r="B137" s="458"/>
      <c r="C137" s="458"/>
      <c r="D137" s="458"/>
      <c r="E137" s="458"/>
      <c r="F137" s="458"/>
      <c r="G137" s="458"/>
      <c r="H137" s="459"/>
      <c r="I137" s="248">
        <f t="shared" ref="I137:N137" si="76">I67+I88+I102+I136</f>
        <v>3887.8</v>
      </c>
      <c r="J137" s="249">
        <f t="shared" si="76"/>
        <v>3525.6000000000004</v>
      </c>
      <c r="K137" s="249">
        <f t="shared" si="76"/>
        <v>2670.2000000000003</v>
      </c>
      <c r="L137" s="250">
        <f t="shared" si="76"/>
        <v>362.20000000000005</v>
      </c>
      <c r="M137" s="250">
        <f t="shared" si="76"/>
        <v>7274.6</v>
      </c>
      <c r="N137" s="250">
        <f t="shared" si="76"/>
        <v>4639.6000000000004</v>
      </c>
      <c r="O137" s="250">
        <f>O67+O102+O136</f>
        <v>3128.5</v>
      </c>
      <c r="P137" s="251">
        <f t="shared" ref="P137:X137" si="77">P67+P88+P102+P136</f>
        <v>2635</v>
      </c>
      <c r="Q137" s="252">
        <f t="shared" si="77"/>
        <v>7255.2999999999993</v>
      </c>
      <c r="R137" s="249">
        <f t="shared" si="77"/>
        <v>4503.3</v>
      </c>
      <c r="S137" s="249">
        <f t="shared" si="77"/>
        <v>3114.2</v>
      </c>
      <c r="T137" s="250">
        <f t="shared" si="77"/>
        <v>2752</v>
      </c>
      <c r="U137" s="251">
        <f t="shared" si="77"/>
        <v>5007.5999999999995</v>
      </c>
      <c r="V137" s="249">
        <f t="shared" si="77"/>
        <v>4577.5999999999995</v>
      </c>
      <c r="W137" s="249">
        <f t="shared" si="77"/>
        <v>3114.2</v>
      </c>
      <c r="X137" s="251">
        <f t="shared" si="77"/>
        <v>430</v>
      </c>
      <c r="Z137" s="253"/>
      <c r="AA137" s="253"/>
      <c r="AB137" s="253"/>
      <c r="AC137" s="253"/>
      <c r="AD137" s="253"/>
      <c r="AE137" s="253"/>
      <c r="AF137" s="253"/>
      <c r="AG137" s="253"/>
    </row>
    <row r="138" spans="1:33" ht="15" customHeight="1" x14ac:dyDescent="0.3">
      <c r="A138" s="460" t="s">
        <v>129</v>
      </c>
      <c r="B138" s="461"/>
      <c r="C138" s="461"/>
      <c r="D138" s="461"/>
      <c r="E138" s="461"/>
      <c r="F138" s="461"/>
      <c r="G138" s="461"/>
      <c r="H138" s="462"/>
      <c r="I138" s="254">
        <f>I12+I17+I19+I23+I27+I31+I35+I39+I44+I57+I59+I70+I73+I81+I91+I93+I97+I105+I112+I114+I119+I123+I127+I128+I133</f>
        <v>3385.7</v>
      </c>
      <c r="J138" s="255">
        <f>J12+J17+J19+J23+J27+J31+J35+J39+J44+J57+J59+J73+J91+J93+J97+J105+J114+J119+J123+J133+J132+J127+J128+J129+J121+J112+J110+J109+J108+J107+J85+J81+J75+J70+J63+J52+J51+J50+J49+J48+J47+J46</f>
        <v>3149.5000000000005</v>
      </c>
      <c r="K138" s="255">
        <f t="shared" ref="K138:L138" si="78">K12+K17+K19+K23+K27+K31+K35+K39+K44+K57+K59+K73+K91+K93+K97+K105+K114+K119+K123+K133+K132+K127+K128+K129+K121+K112+K110+K109+K108+K107+K85+K81+K75+K70+K63+K52+K51+K50+K49+K48+K47+K46</f>
        <v>2499.2000000000003</v>
      </c>
      <c r="L138" s="255">
        <f t="shared" si="78"/>
        <v>236.2</v>
      </c>
      <c r="M138" s="254">
        <f>SUM(N138+P138)</f>
        <v>5167.2000000000007</v>
      </c>
      <c r="N138" s="255">
        <f>N12+N17+N19+N23+N27+N31+N35+N39+N44+N57+N59+N73+N91+N93+N97+N105+N114+N119+N123+N133+N132+N127+N128+N129+N121+N112+N110+N109+N108+N107+N85+N81+N75+N70+N63+N52+N51+N50+N49+N48+N47+N46+N53+N64</f>
        <v>4240.5000000000009</v>
      </c>
      <c r="O138" s="255">
        <f t="shared" ref="O138:P138" si="79">O12+O17+O19+O23+O27+O31+O35+O39+O44+O57+O59+O73+O91+O93+O97+O105+O114+O119+O123+O133+O132+O127+O128+O129+O121+O112+O110+O109+O108+O107+O85+O81+O75+O70+O63+O52+O51+O50+O49+O48+O47+O46+O53+O64</f>
        <v>2954.7</v>
      </c>
      <c r="P138" s="255">
        <f t="shared" si="79"/>
        <v>926.69999999999993</v>
      </c>
      <c r="Q138" s="257">
        <f>Q12+Q19+Q23+Q27+Q31+Q35+Q39+Q44+Q46+Q57+Q63+Q75+Q81+Q85+Q91+Q93+Q97+Q105+Q108+Q112+Q119+Q121+Q123+Q129+Q132</f>
        <v>6470.5</v>
      </c>
      <c r="R138" s="255">
        <f>R12+R17+R19+R23+R27+R31+R35+R39+R44+R57+R59+R73+R91+R93+R97+R105+R114+R119+R123+R133+R132+R127+R128+R129+R121+R112+R110+R109+R108+R107+R85+R81+R75+R70+R63+R52+R51+R50+R49+R48+R47+R46</f>
        <v>4168.5</v>
      </c>
      <c r="S138" s="255">
        <f t="shared" ref="S138:T138" si="80">S12+S17+S19+S23+S27+S31+S35+S39+S44+S57+S59+S73+S91+S93+S97+S105+S114+S119+S123+S133+S132+S127+S128+S129+S121+S112+S110+S109+S108+S107+S85+S81+S75+S70+S63+S52+S51+S50+S49+S48+S47+S46</f>
        <v>2982.7999999999997</v>
      </c>
      <c r="T138" s="255">
        <f t="shared" si="80"/>
        <v>2302</v>
      </c>
      <c r="U138" s="257">
        <f>U12+U19+U23+U27+U31+U35+U39+U44+U46+U57+U63+U91+U93+U97+U105+U108+U112+U119+U121+U123+U132</f>
        <v>4563</v>
      </c>
      <c r="V138" s="255">
        <f>V12+V17+V19+V23+V27+V31+V35+V39+V44+V57+V59+V73+V91+V93+V97+V105+V114+V119+V123+V133+V132+V127+V128+V129+V121+V112+V110+V109+V108+V107+V85+V81+V75+V70+V63+V52+V51+V50+V49+V48+V47+V46</f>
        <v>4233</v>
      </c>
      <c r="W138" s="255">
        <f t="shared" ref="W138:X138" si="81">W12+W17+W19+W23+W27+W31+W35+W39+W44+W57+W59+W73+W91+W93+W97+W105+W114+W119+W123+W133+W132+W127+W128+W129+W121+W112+W110+W109+W108+W107+W85+W81+W75+W70+W63+W52+W51+W50+W49+W48+W47+W46</f>
        <v>2982.7999999999997</v>
      </c>
      <c r="X138" s="256">
        <f t="shared" si="81"/>
        <v>330</v>
      </c>
      <c r="Y138" s="17"/>
      <c r="Z138" s="253"/>
      <c r="AA138" s="253"/>
      <c r="AB138" s="253"/>
      <c r="AC138" s="253"/>
      <c r="AD138" s="253"/>
      <c r="AE138" s="253"/>
      <c r="AF138" s="253"/>
      <c r="AG138" s="253"/>
    </row>
    <row r="139" spans="1:33" ht="15" customHeight="1" x14ac:dyDescent="0.3">
      <c r="A139" s="463" t="s">
        <v>130</v>
      </c>
      <c r="B139" s="464"/>
      <c r="C139" s="464"/>
      <c r="D139" s="464"/>
      <c r="E139" s="464"/>
      <c r="F139" s="464"/>
      <c r="G139" s="464"/>
      <c r="H139" s="465"/>
      <c r="I139" s="258">
        <f>I13+I16+I20+I24+I28+I32+I36+I41+I98</f>
        <v>316.10000000000002</v>
      </c>
      <c r="J139" s="259">
        <f>J98+J41+J36+J32+J28+J24+J20+J16+J13</f>
        <v>312.2</v>
      </c>
      <c r="K139" s="259">
        <f>K98+K41+K36+K32+K28+K24+K20+K16+K13</f>
        <v>118</v>
      </c>
      <c r="L139" s="260">
        <f>L98+L41+L36+L32+L28+L24+L20+L16+L13</f>
        <v>3.9</v>
      </c>
      <c r="M139" s="258">
        <f>SUM(N139,P139)</f>
        <v>341.90000000000003</v>
      </c>
      <c r="N139" s="260">
        <f>N13+N16+N20+N24+N28+N32+N36+N41+N98</f>
        <v>338.1</v>
      </c>
      <c r="O139" s="260">
        <f>SUM(O13,O16,O20,O24,O28,O32,,O36,O41,O98,)</f>
        <v>131.4</v>
      </c>
      <c r="P139" s="261">
        <f>P13+P16+P20+P24+P28+P32+P36+P41+P98</f>
        <v>3.8</v>
      </c>
      <c r="Q139" s="262">
        <f>SUM(R139,T139)</f>
        <v>334.8</v>
      </c>
      <c r="R139" s="260">
        <f>SUM(R13,R16,R20,R24,R28,R32,R36,R41,R98)</f>
        <v>334.8</v>
      </c>
      <c r="S139" s="260">
        <f>SUM(S13,S16,S20,S24,S28,S32,,S36,S41,S98,)</f>
        <v>131.4</v>
      </c>
      <c r="T139" s="261">
        <f>SUM(T13,T16,T20,T24,T28,T32,,T36,T41,T98,)</f>
        <v>0</v>
      </c>
      <c r="U139" s="262">
        <f>SUM(V139,X139)</f>
        <v>344.6</v>
      </c>
      <c r="V139" s="260">
        <f>SUM(V13,V16,V20,V24,V28,V32,,V36,V41,V98,)</f>
        <v>344.6</v>
      </c>
      <c r="W139" s="260">
        <f>SUM(W13,W16,W20,W24,W28,W32,,W36,W41,W98,)</f>
        <v>131.4</v>
      </c>
      <c r="X139" s="261">
        <f>SUM(X13,X16,X20,X24,X28,X32,,X36,X41,X98,)</f>
        <v>0</v>
      </c>
      <c r="Z139" s="253"/>
      <c r="AA139" s="253"/>
      <c r="AB139" s="253"/>
      <c r="AC139" s="253"/>
      <c r="AD139" s="253"/>
      <c r="AE139" s="253"/>
      <c r="AF139" s="253"/>
      <c r="AG139" s="253"/>
    </row>
    <row r="140" spans="1:33" ht="15" customHeight="1" x14ac:dyDescent="0.3">
      <c r="A140" s="463" t="s">
        <v>131</v>
      </c>
      <c r="B140" s="464"/>
      <c r="C140" s="464"/>
      <c r="D140" s="464"/>
      <c r="E140" s="464"/>
      <c r="F140" s="464"/>
      <c r="G140" s="464"/>
      <c r="H140" s="465"/>
      <c r="I140" s="258">
        <f>I61+I72+I115+I130</f>
        <v>72.5</v>
      </c>
      <c r="J140" s="259">
        <f>J61+J72+J115+J130</f>
        <v>29.1</v>
      </c>
      <c r="K140" s="259">
        <f>+K72+K78+K130+K115+K61</f>
        <v>19.600000000000001</v>
      </c>
      <c r="L140" s="260">
        <f>+L72+L78+L130+L115+L61</f>
        <v>43.4</v>
      </c>
      <c r="M140" s="258">
        <f>SUM(N140,P140)</f>
        <v>380.9</v>
      </c>
      <c r="N140" s="259">
        <f>N115</f>
        <v>31.5</v>
      </c>
      <c r="O140" s="259">
        <f>O61+O72+O78+O115+O130</f>
        <v>12.9</v>
      </c>
      <c r="P140" s="261">
        <f>SUM(P61,P72,P78,P115,P130,)</f>
        <v>349.4</v>
      </c>
      <c r="Q140" s="262">
        <f>SUM(R140,T140)</f>
        <v>0</v>
      </c>
      <c r="R140" s="259">
        <f>SUM(R61,R72,R78,R115,R130,)</f>
        <v>0</v>
      </c>
      <c r="S140" s="259">
        <f>SUM(S61,S72,S78,S115,S130,)</f>
        <v>0</v>
      </c>
      <c r="T140" s="261">
        <f>SUM(T61,T72,T78,T115,T130,)</f>
        <v>0</v>
      </c>
      <c r="U140" s="262">
        <f>SUM(V140,X140)</f>
        <v>0</v>
      </c>
      <c r="V140" s="259">
        <f>SUM(V61,V72,V78,V115,V130,)</f>
        <v>0</v>
      </c>
      <c r="W140" s="259">
        <f>SUM(W61,W72,W78,W115,W130,)</f>
        <v>0</v>
      </c>
      <c r="X140" s="261">
        <f>SUM(X61,X72,X78,X115,X130,)</f>
        <v>0</v>
      </c>
      <c r="Z140" s="253"/>
      <c r="AA140" s="253"/>
      <c r="AB140" s="253"/>
      <c r="AC140" s="253"/>
      <c r="AD140" s="253"/>
      <c r="AE140" s="253"/>
      <c r="AF140" s="253"/>
      <c r="AG140" s="253"/>
    </row>
    <row r="141" spans="1:33" ht="15" customHeight="1" x14ac:dyDescent="0.3">
      <c r="A141" s="463" t="s">
        <v>132</v>
      </c>
      <c r="B141" s="464"/>
      <c r="C141" s="464"/>
      <c r="D141" s="464"/>
      <c r="E141" s="464"/>
      <c r="F141" s="464"/>
      <c r="G141" s="464"/>
      <c r="H141" s="465"/>
      <c r="I141" s="263">
        <f t="shared" ref="I141:X141" si="82">I117</f>
        <v>0</v>
      </c>
      <c r="J141" s="259">
        <f t="shared" si="82"/>
        <v>0</v>
      </c>
      <c r="K141" s="259">
        <f t="shared" si="82"/>
        <v>0</v>
      </c>
      <c r="L141" s="262">
        <f t="shared" si="82"/>
        <v>0</v>
      </c>
      <c r="M141" s="258">
        <f t="shared" ref="M141:M142" si="83">SUM(N141,P141)</f>
        <v>0</v>
      </c>
      <c r="N141" s="259">
        <f t="shared" si="82"/>
        <v>0</v>
      </c>
      <c r="O141" s="259">
        <f t="shared" si="82"/>
        <v>0</v>
      </c>
      <c r="P141" s="261">
        <f t="shared" si="82"/>
        <v>0</v>
      </c>
      <c r="Q141" s="264">
        <f t="shared" si="82"/>
        <v>0</v>
      </c>
      <c r="R141" s="259">
        <f t="shared" si="82"/>
        <v>0</v>
      </c>
      <c r="S141" s="259">
        <f t="shared" si="82"/>
        <v>0</v>
      </c>
      <c r="T141" s="262">
        <f t="shared" si="82"/>
        <v>0</v>
      </c>
      <c r="U141" s="263">
        <f t="shared" si="82"/>
        <v>0</v>
      </c>
      <c r="V141" s="259">
        <f t="shared" si="82"/>
        <v>0</v>
      </c>
      <c r="W141" s="259">
        <f t="shared" si="82"/>
        <v>0</v>
      </c>
      <c r="X141" s="261">
        <f t="shared" si="82"/>
        <v>0</v>
      </c>
      <c r="Z141" s="253"/>
      <c r="AA141" s="253"/>
      <c r="AB141" s="253"/>
      <c r="AC141" s="253"/>
      <c r="AD141" s="253"/>
      <c r="AE141" s="253"/>
      <c r="AF141" s="253"/>
      <c r="AG141" s="253"/>
    </row>
    <row r="142" spans="1:33" ht="15" customHeight="1" x14ac:dyDescent="0.3">
      <c r="A142" s="463" t="s">
        <v>133</v>
      </c>
      <c r="B142" s="464"/>
      <c r="C142" s="464"/>
      <c r="D142" s="464"/>
      <c r="E142" s="464"/>
      <c r="F142" s="464"/>
      <c r="G142" s="464"/>
      <c r="H142" s="465"/>
      <c r="I142" s="258"/>
      <c r="J142" s="259">
        <f>SUM(J82,J76)</f>
        <v>0</v>
      </c>
      <c r="K142" s="259">
        <f t="shared" ref="K142:L142" si="84">SUM(K82,K76)</f>
        <v>0</v>
      </c>
      <c r="L142" s="259">
        <f t="shared" si="84"/>
        <v>0</v>
      </c>
      <c r="M142" s="258">
        <f t="shared" si="83"/>
        <v>700</v>
      </c>
      <c r="N142" s="259">
        <f>SUM(N82,N76)</f>
        <v>0</v>
      </c>
      <c r="O142" s="259">
        <f t="shared" ref="O142:P142" si="85">SUM(O82,O76)</f>
        <v>0</v>
      </c>
      <c r="P142" s="259">
        <f t="shared" si="85"/>
        <v>700</v>
      </c>
      <c r="Q142" s="262"/>
      <c r="R142" s="259">
        <f>SUM(R82,R76)</f>
        <v>0</v>
      </c>
      <c r="S142" s="259">
        <f t="shared" ref="S142:T142" si="86">SUM(S82,S76)</f>
        <v>0</v>
      </c>
      <c r="T142" s="259">
        <f t="shared" si="86"/>
        <v>0</v>
      </c>
      <c r="U142" s="258"/>
      <c r="V142" s="259">
        <f>SUM(V82,V76)</f>
        <v>0</v>
      </c>
      <c r="W142" s="259">
        <f t="shared" ref="W142:X142" si="87">SUM(W82,W76)</f>
        <v>0</v>
      </c>
      <c r="X142" s="261">
        <f t="shared" si="87"/>
        <v>0</v>
      </c>
      <c r="Z142" s="253"/>
      <c r="AA142" s="253"/>
      <c r="AB142" s="253"/>
      <c r="AC142" s="253"/>
      <c r="AD142" s="253"/>
      <c r="AE142" s="253"/>
      <c r="AF142" s="253"/>
      <c r="AG142" s="253"/>
    </row>
    <row r="143" spans="1:33" ht="15.75" customHeight="1" x14ac:dyDescent="0.3">
      <c r="A143" s="463" t="s">
        <v>134</v>
      </c>
      <c r="B143" s="464"/>
      <c r="C143" s="464"/>
      <c r="D143" s="464"/>
      <c r="E143" s="464"/>
      <c r="F143" s="464"/>
      <c r="G143" s="464"/>
      <c r="H143" s="465"/>
      <c r="I143" s="258">
        <f>I116</f>
        <v>0</v>
      </c>
      <c r="J143" s="259">
        <f>J116</f>
        <v>0</v>
      </c>
      <c r="K143" s="259">
        <f>+K116</f>
        <v>0</v>
      </c>
      <c r="L143" s="262">
        <f>+L116</f>
        <v>0</v>
      </c>
      <c r="M143" s="258">
        <f t="shared" ref="M143:X143" si="88">M116</f>
        <v>0</v>
      </c>
      <c r="N143" s="259">
        <f t="shared" si="88"/>
        <v>0</v>
      </c>
      <c r="O143" s="259">
        <f t="shared" si="88"/>
        <v>0</v>
      </c>
      <c r="P143" s="265">
        <f t="shared" si="88"/>
        <v>0</v>
      </c>
      <c r="Q143" s="262">
        <f t="shared" si="88"/>
        <v>0</v>
      </c>
      <c r="R143" s="259">
        <f t="shared" si="88"/>
        <v>0</v>
      </c>
      <c r="S143" s="259">
        <f t="shared" si="88"/>
        <v>0</v>
      </c>
      <c r="T143" s="262">
        <f t="shared" si="88"/>
        <v>0</v>
      </c>
      <c r="U143" s="258">
        <f t="shared" si="88"/>
        <v>0</v>
      </c>
      <c r="V143" s="259">
        <f t="shared" si="88"/>
        <v>0</v>
      </c>
      <c r="W143" s="259">
        <f t="shared" si="88"/>
        <v>0</v>
      </c>
      <c r="X143" s="261">
        <f t="shared" si="88"/>
        <v>0</v>
      </c>
      <c r="Z143" s="253"/>
      <c r="AA143" s="253"/>
      <c r="AB143" s="253"/>
      <c r="AC143" s="253"/>
      <c r="AD143" s="253"/>
      <c r="AE143" s="253"/>
      <c r="AF143" s="253"/>
      <c r="AG143" s="253"/>
    </row>
    <row r="144" spans="1:33" ht="15" customHeight="1" x14ac:dyDescent="0.3">
      <c r="A144" s="463" t="s">
        <v>135</v>
      </c>
      <c r="B144" s="464"/>
      <c r="C144" s="464"/>
      <c r="D144" s="464"/>
      <c r="E144" s="464"/>
      <c r="F144" s="464"/>
      <c r="G144" s="464"/>
      <c r="H144" s="465"/>
      <c r="I144" s="266">
        <f>I60+I71+I77</f>
        <v>8.5</v>
      </c>
      <c r="J144" s="259">
        <f>J71+J77+J60</f>
        <v>0.8</v>
      </c>
      <c r="K144" s="259">
        <f>K71+K77+K60</f>
        <v>0.3</v>
      </c>
      <c r="L144" s="267">
        <f>L71+L77+L60</f>
        <v>7.7</v>
      </c>
      <c r="M144" s="266">
        <f>M77</f>
        <v>20.399999999999999</v>
      </c>
      <c r="N144" s="259">
        <f>SUM(N60,N71,N77)</f>
        <v>0</v>
      </c>
      <c r="O144" s="259">
        <f>SUM(O60,O71,O77)</f>
        <v>0</v>
      </c>
      <c r="P144" s="268">
        <f>P77+P71</f>
        <v>20.399999999999999</v>
      </c>
      <c r="Q144" s="267">
        <f>Q77</f>
        <v>0</v>
      </c>
      <c r="R144" s="259">
        <f>SUM(R60,R71,R77)</f>
        <v>0</v>
      </c>
      <c r="S144" s="259">
        <f>SUM(S60,S71,S77)</f>
        <v>0</v>
      </c>
      <c r="T144" s="269">
        <f>SUM(T60,T71,T77)</f>
        <v>0</v>
      </c>
      <c r="U144" s="266">
        <f>U77</f>
        <v>0</v>
      </c>
      <c r="V144" s="259">
        <f>SUM(V60,V71,V77)</f>
        <v>0</v>
      </c>
      <c r="W144" s="259">
        <f>SUM(W60,W71,W77)</f>
        <v>0</v>
      </c>
      <c r="X144" s="270">
        <f>SUM(X60,X71,X77)</f>
        <v>0</v>
      </c>
      <c r="Z144" s="253"/>
      <c r="AA144" s="253"/>
      <c r="AB144" s="253"/>
      <c r="AC144" s="253"/>
      <c r="AD144" s="253"/>
      <c r="AE144" s="253"/>
      <c r="AF144" s="253"/>
      <c r="AG144" s="253"/>
    </row>
    <row r="145" spans="1:33" ht="22.5" customHeight="1" x14ac:dyDescent="0.3">
      <c r="A145" s="463" t="s">
        <v>136</v>
      </c>
      <c r="B145" s="464"/>
      <c r="C145" s="464"/>
      <c r="D145" s="464"/>
      <c r="E145" s="464"/>
      <c r="F145" s="464"/>
      <c r="G145" s="464"/>
      <c r="H145" s="465"/>
      <c r="I145" s="266"/>
      <c r="J145" s="259"/>
      <c r="K145" s="259"/>
      <c r="L145" s="267"/>
      <c r="M145" s="266">
        <f t="shared" ref="M145:X145" si="89">M79</f>
        <v>0</v>
      </c>
      <c r="N145" s="259">
        <f t="shared" si="89"/>
        <v>0</v>
      </c>
      <c r="O145" s="259">
        <f t="shared" si="89"/>
        <v>0</v>
      </c>
      <c r="P145" s="268">
        <f t="shared" si="89"/>
        <v>0</v>
      </c>
      <c r="Q145" s="267">
        <f t="shared" si="89"/>
        <v>0</v>
      </c>
      <c r="R145" s="259">
        <f t="shared" si="89"/>
        <v>0</v>
      </c>
      <c r="S145" s="259">
        <f t="shared" si="89"/>
        <v>0</v>
      </c>
      <c r="T145" s="269">
        <f t="shared" si="89"/>
        <v>0</v>
      </c>
      <c r="U145" s="266">
        <f t="shared" si="89"/>
        <v>0</v>
      </c>
      <c r="V145" s="259">
        <f t="shared" si="89"/>
        <v>0</v>
      </c>
      <c r="W145" s="259">
        <f t="shared" si="89"/>
        <v>0</v>
      </c>
      <c r="X145" s="270">
        <f t="shared" si="89"/>
        <v>0</v>
      </c>
      <c r="Z145" s="253"/>
      <c r="AA145" s="253"/>
      <c r="AB145" s="253"/>
      <c r="AC145" s="253"/>
      <c r="AD145" s="253"/>
      <c r="AE145" s="253"/>
      <c r="AF145" s="253"/>
      <c r="AG145" s="253"/>
    </row>
    <row r="146" spans="1:33" ht="15" customHeight="1" x14ac:dyDescent="0.3">
      <c r="A146" s="463" t="s">
        <v>137</v>
      </c>
      <c r="B146" s="464"/>
      <c r="C146" s="464"/>
      <c r="D146" s="464"/>
      <c r="E146" s="464"/>
      <c r="F146" s="464"/>
      <c r="G146" s="464"/>
      <c r="H146" s="465"/>
      <c r="I146" s="266">
        <f>J146+L146</f>
        <v>0.80000000000001137</v>
      </c>
      <c r="J146" s="259"/>
      <c r="K146" s="259">
        <f>K79</f>
        <v>0</v>
      </c>
      <c r="L146" s="267">
        <f>L79</f>
        <v>0.80000000000001137</v>
      </c>
      <c r="M146" s="266"/>
      <c r="N146" s="259"/>
      <c r="O146" s="259"/>
      <c r="P146" s="268">
        <f>SUM(P79,)</f>
        <v>0</v>
      </c>
      <c r="Q146" s="267"/>
      <c r="R146" s="259"/>
      <c r="S146" s="259"/>
      <c r="T146" s="269">
        <f>SUM(T79,)</f>
        <v>0</v>
      </c>
      <c r="U146" s="266"/>
      <c r="V146" s="259"/>
      <c r="W146" s="259"/>
      <c r="X146" s="270">
        <f>SUM(X79,)</f>
        <v>0</v>
      </c>
      <c r="Z146" s="253"/>
      <c r="AA146" s="253"/>
      <c r="AB146" s="253"/>
      <c r="AC146" s="253"/>
      <c r="AD146" s="253"/>
      <c r="AE146" s="253"/>
      <c r="AF146" s="253"/>
      <c r="AG146" s="253"/>
    </row>
    <row r="147" spans="1:33" ht="15.75" customHeight="1" x14ac:dyDescent="0.3">
      <c r="A147" s="463" t="s">
        <v>138</v>
      </c>
      <c r="B147" s="464"/>
      <c r="C147" s="464"/>
      <c r="D147" s="464"/>
      <c r="E147" s="464"/>
      <c r="F147" s="464"/>
      <c r="G147" s="464"/>
      <c r="H147" s="465"/>
      <c r="I147" s="263">
        <f>J147+L147</f>
        <v>0</v>
      </c>
      <c r="J147" s="259">
        <f>J40</f>
        <v>0</v>
      </c>
      <c r="K147" s="259">
        <f>K40</f>
        <v>0</v>
      </c>
      <c r="L147" s="260">
        <f>L40</f>
        <v>0</v>
      </c>
      <c r="M147" s="263"/>
      <c r="N147" s="259">
        <f>N40</f>
        <v>0</v>
      </c>
      <c r="O147" s="259">
        <f>O40</f>
        <v>0</v>
      </c>
      <c r="P147" s="261">
        <f>P40</f>
        <v>0</v>
      </c>
      <c r="Q147" s="264"/>
      <c r="R147" s="259">
        <f>R40</f>
        <v>0</v>
      </c>
      <c r="S147" s="259">
        <f>S40</f>
        <v>0</v>
      </c>
      <c r="T147" s="259">
        <f>T40</f>
        <v>0</v>
      </c>
      <c r="U147" s="263"/>
      <c r="V147" s="259">
        <f>V40</f>
        <v>0</v>
      </c>
      <c r="W147" s="259">
        <f>W40</f>
        <v>0</v>
      </c>
      <c r="X147" s="261">
        <f>X40</f>
        <v>0</v>
      </c>
      <c r="Z147" s="253"/>
      <c r="AA147" s="253"/>
      <c r="AB147" s="253"/>
      <c r="AC147" s="253"/>
      <c r="AD147" s="253"/>
      <c r="AE147" s="253"/>
      <c r="AF147" s="253"/>
      <c r="AG147" s="253"/>
    </row>
    <row r="148" spans="1:33" ht="15.75" customHeight="1" x14ac:dyDescent="0.3">
      <c r="A148" s="463" t="s">
        <v>139</v>
      </c>
      <c r="B148" s="464"/>
      <c r="C148" s="464"/>
      <c r="D148" s="464"/>
      <c r="E148" s="464"/>
      <c r="F148" s="464"/>
      <c r="G148" s="464"/>
      <c r="H148" s="465"/>
      <c r="I148" s="263">
        <f>I14+I21+I25+I29+I33+I37+I42+I99</f>
        <v>104.19999999999999</v>
      </c>
      <c r="J148" s="259">
        <f>J14+J21+J25+J29+J33+J37+J42+J99</f>
        <v>34</v>
      </c>
      <c r="K148" s="259">
        <f>K42+K37+K33+K25+K29+K14+K21+K99</f>
        <v>33.099999999999994</v>
      </c>
      <c r="L148" s="260">
        <f>L42+L37+L33+L25+L29+L14+L21+L99</f>
        <v>70.2</v>
      </c>
      <c r="M148" s="263">
        <f>N148+P148</f>
        <v>107.2</v>
      </c>
      <c r="N148" s="259">
        <f>N42+N37+N33+N25+N29+N14+N21+N99</f>
        <v>29.5</v>
      </c>
      <c r="O148" s="259">
        <f>O42+O37+O33+O25+O29+O14+O21+O99</f>
        <v>29.5</v>
      </c>
      <c r="P148" s="261">
        <f>SUM(P14,P21,P25,P29,P33,P37,P42,)</f>
        <v>77.7</v>
      </c>
      <c r="Q148" s="264">
        <f>R148+T148</f>
        <v>0</v>
      </c>
      <c r="R148" s="259">
        <f>R42+R37+R33+R25+R29+R14+R21+R99</f>
        <v>0</v>
      </c>
      <c r="S148" s="259">
        <f>S42+S37+S33+S25+S29+S14+S21+S99</f>
        <v>0</v>
      </c>
      <c r="T148" s="261">
        <f>SUM(T14,T21,T25,T29,T33,T37,T42,)</f>
        <v>0</v>
      </c>
      <c r="U148" s="264">
        <f>V148+X148</f>
        <v>0</v>
      </c>
      <c r="V148" s="259">
        <f>V42+V37+V33+V25+V29+V14+V21+V99</f>
        <v>0</v>
      </c>
      <c r="W148" s="259">
        <f>W42+W37+W33+W25+W29+W14+W21+W99</f>
        <v>0</v>
      </c>
      <c r="X148" s="261">
        <f>SUM(X14,X21,X25,X29,X33,X37,X42,)</f>
        <v>0</v>
      </c>
      <c r="Z148" s="253"/>
      <c r="AA148" s="253"/>
      <c r="AB148" s="253"/>
      <c r="AC148" s="253"/>
      <c r="AD148" s="253"/>
      <c r="AE148" s="253"/>
      <c r="AF148" s="253"/>
      <c r="AG148" s="253"/>
    </row>
    <row r="149" spans="1:33" ht="27" customHeight="1" thickBot="1" x14ac:dyDescent="0.35">
      <c r="A149" s="474" t="s">
        <v>140</v>
      </c>
      <c r="B149" s="475"/>
      <c r="C149" s="475"/>
      <c r="D149" s="475"/>
      <c r="E149" s="475"/>
      <c r="F149" s="475"/>
      <c r="G149" s="475"/>
      <c r="H149" s="476"/>
      <c r="I149" s="263">
        <f>J149+L149</f>
        <v>0</v>
      </c>
      <c r="J149" s="259">
        <f t="shared" ref="J149:X149" si="90">J83</f>
        <v>0</v>
      </c>
      <c r="K149" s="259">
        <f t="shared" si="90"/>
        <v>0</v>
      </c>
      <c r="L149" s="271">
        <f t="shared" si="90"/>
        <v>0</v>
      </c>
      <c r="M149" s="272">
        <f t="shared" si="90"/>
        <v>557</v>
      </c>
      <c r="N149" s="273">
        <f t="shared" si="90"/>
        <v>0</v>
      </c>
      <c r="O149" s="273">
        <f t="shared" si="90"/>
        <v>0</v>
      </c>
      <c r="P149" s="274">
        <f t="shared" si="90"/>
        <v>557</v>
      </c>
      <c r="Q149" s="264">
        <f t="shared" si="90"/>
        <v>450</v>
      </c>
      <c r="R149" s="259">
        <f t="shared" si="90"/>
        <v>0</v>
      </c>
      <c r="S149" s="259">
        <f t="shared" si="90"/>
        <v>0</v>
      </c>
      <c r="T149" s="274">
        <f t="shared" si="90"/>
        <v>450</v>
      </c>
      <c r="U149" s="264">
        <f t="shared" si="90"/>
        <v>100</v>
      </c>
      <c r="V149" s="259">
        <f t="shared" si="90"/>
        <v>0</v>
      </c>
      <c r="W149" s="259">
        <f t="shared" si="90"/>
        <v>0</v>
      </c>
      <c r="X149" s="274">
        <f t="shared" si="90"/>
        <v>100</v>
      </c>
      <c r="Z149" s="253"/>
      <c r="AA149" s="253"/>
      <c r="AB149" s="253"/>
      <c r="AC149" s="253"/>
      <c r="AD149" s="253"/>
      <c r="AE149" s="253"/>
      <c r="AF149" s="253"/>
      <c r="AG149" s="253"/>
    </row>
    <row r="150" spans="1:33" ht="15.75" customHeight="1" thickBot="1" x14ac:dyDescent="0.35">
      <c r="A150" s="477" t="s">
        <v>141</v>
      </c>
      <c r="B150" s="478"/>
      <c r="C150" s="478"/>
      <c r="D150" s="478"/>
      <c r="E150" s="478"/>
      <c r="F150" s="478"/>
      <c r="G150" s="478"/>
      <c r="H150" s="479"/>
      <c r="I150" s="275">
        <f>I138+I139+I140+I141+I143+I144+I145+I146+I147+I148+I149</f>
        <v>3887.7999999999997</v>
      </c>
      <c r="J150" s="276">
        <f>J138+J139+J140+J141+J143+J144+J145+J146+J147+J148+J149</f>
        <v>3525.6000000000004</v>
      </c>
      <c r="K150" s="276">
        <f>SUM(K138:K149)</f>
        <v>2670.2000000000003</v>
      </c>
      <c r="L150" s="276">
        <f>SUM(L138:L149)</f>
        <v>362.2</v>
      </c>
      <c r="M150" s="275">
        <f>SUM(N150+P150)</f>
        <v>7274.6000000000013</v>
      </c>
      <c r="N150" s="276">
        <f>SUM(N138:N149)</f>
        <v>4639.6000000000013</v>
      </c>
      <c r="O150" s="276">
        <f>O138+O139+O140+O141+O143+O144+O146+O147+O148+O149</f>
        <v>3128.5</v>
      </c>
      <c r="P150" s="276">
        <f>SUM(P138:P149)</f>
        <v>2635</v>
      </c>
      <c r="Q150" s="275">
        <f>Q138+Q139+Q140+Q141+Q143+Q144+Q145+Q146+Q147+Q148+Q149</f>
        <v>7255.3</v>
      </c>
      <c r="R150" s="276">
        <f>SUM(R138:R149)</f>
        <v>4503.3</v>
      </c>
      <c r="S150" s="276">
        <f>SUM(S138:S149)</f>
        <v>3114.2</v>
      </c>
      <c r="T150" s="277">
        <f>SUM(T138:T149)</f>
        <v>2752</v>
      </c>
      <c r="U150" s="275">
        <f>U138+U139+U140+U141+U143+U144+U145+U146+U147+U148+U149</f>
        <v>5007.6000000000004</v>
      </c>
      <c r="V150" s="276">
        <f>SUM(V138:V149)</f>
        <v>4577.6000000000004</v>
      </c>
      <c r="W150" s="276">
        <f>SUM(W138:W149)</f>
        <v>3114.2</v>
      </c>
      <c r="X150" s="277">
        <f>X138+X149</f>
        <v>430</v>
      </c>
      <c r="Z150" s="253"/>
      <c r="AA150" s="253"/>
      <c r="AB150" s="253"/>
      <c r="AC150" s="253"/>
      <c r="AD150" s="253"/>
      <c r="AE150" s="253"/>
      <c r="AF150" s="253"/>
      <c r="AG150" s="253"/>
    </row>
    <row r="151" spans="1:33" x14ac:dyDescent="0.3">
      <c r="A151" s="480"/>
      <c r="B151" s="480"/>
      <c r="C151" s="480"/>
      <c r="D151" s="480"/>
      <c r="E151" s="480"/>
      <c r="F151" s="480"/>
      <c r="G151" s="480"/>
      <c r="H151" s="480"/>
      <c r="I151" s="278"/>
      <c r="J151" s="279"/>
      <c r="K151" s="279"/>
      <c r="L151" s="279"/>
    </row>
    <row r="152" spans="1:33" x14ac:dyDescent="0.3">
      <c r="A152" s="481"/>
      <c r="B152" s="481"/>
      <c r="C152" s="481"/>
      <c r="D152" s="481"/>
      <c r="E152" s="481"/>
      <c r="F152" s="280"/>
      <c r="G152" s="281"/>
      <c r="H152" s="282"/>
      <c r="I152" s="164">
        <f>I137-I150</f>
        <v>0</v>
      </c>
      <c r="J152" s="164">
        <f>J137-J150</f>
        <v>0</v>
      </c>
      <c r="K152" s="164">
        <f>K137-K150</f>
        <v>0</v>
      </c>
      <c r="L152" s="164">
        <f>L137-L150</f>
        <v>0</v>
      </c>
      <c r="M152" s="164">
        <f>SUM(M150-M137)</f>
        <v>9.0949470177292824E-13</v>
      </c>
      <c r="N152" s="164">
        <f t="shared" ref="N152:X152" si="91">N137-N150</f>
        <v>0</v>
      </c>
      <c r="O152" s="164">
        <f t="shared" si="91"/>
        <v>0</v>
      </c>
      <c r="P152" s="164">
        <f t="shared" si="91"/>
        <v>0</v>
      </c>
      <c r="Q152" s="164">
        <f t="shared" si="91"/>
        <v>0</v>
      </c>
      <c r="R152" s="164">
        <f t="shared" si="91"/>
        <v>0</v>
      </c>
      <c r="S152" s="164">
        <f t="shared" si="91"/>
        <v>0</v>
      </c>
      <c r="T152" s="164">
        <f t="shared" si="91"/>
        <v>0</v>
      </c>
      <c r="U152" s="164">
        <f t="shared" si="91"/>
        <v>0</v>
      </c>
      <c r="V152" s="164">
        <f t="shared" si="91"/>
        <v>0</v>
      </c>
      <c r="W152" s="164">
        <f t="shared" si="91"/>
        <v>0</v>
      </c>
      <c r="X152" s="164">
        <f t="shared" si="91"/>
        <v>0</v>
      </c>
    </row>
    <row r="153" spans="1:33" x14ac:dyDescent="0.3">
      <c r="A153" s="281"/>
      <c r="B153" s="281"/>
      <c r="C153" s="281"/>
      <c r="D153" s="283"/>
      <c r="E153" s="280"/>
      <c r="F153" s="280"/>
      <c r="G153" s="281"/>
      <c r="H153" s="282"/>
      <c r="I153" s="284"/>
      <c r="J153" s="164"/>
      <c r="K153" s="164"/>
      <c r="L153" s="164"/>
    </row>
    <row r="154" spans="1:33" x14ac:dyDescent="0.3">
      <c r="A154" s="281"/>
      <c r="B154" s="281"/>
      <c r="C154" s="281"/>
      <c r="D154" s="281"/>
      <c r="E154" s="280"/>
      <c r="F154" s="285"/>
      <c r="G154" s="285"/>
      <c r="H154" s="285"/>
      <c r="I154" s="284"/>
      <c r="J154" s="164"/>
      <c r="K154" s="164"/>
      <c r="L154" s="164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/>
      <c r="X154" s="253"/>
    </row>
    <row r="155" spans="1:33" x14ac:dyDescent="0.3">
      <c r="A155" s="281"/>
      <c r="B155" s="281"/>
      <c r="C155" s="281"/>
      <c r="D155" s="281"/>
      <c r="E155" s="280"/>
      <c r="F155" s="280"/>
      <c r="G155" s="281"/>
      <c r="H155" s="282"/>
      <c r="I155" s="284"/>
      <c r="J155" s="164"/>
      <c r="K155" s="164"/>
      <c r="L155" s="164"/>
    </row>
    <row r="156" spans="1:33" x14ac:dyDescent="0.3">
      <c r="A156" s="281"/>
      <c r="B156" s="281"/>
      <c r="C156" s="281"/>
      <c r="D156" s="283"/>
      <c r="E156" s="280"/>
      <c r="F156" s="280"/>
      <c r="G156" s="281"/>
      <c r="H156" s="282"/>
      <c r="I156" s="284"/>
      <c r="J156" s="164"/>
      <c r="K156" s="164"/>
      <c r="L156" s="164"/>
    </row>
    <row r="157" spans="1:33" x14ac:dyDescent="0.3">
      <c r="A157" s="281"/>
      <c r="B157" s="281"/>
      <c r="C157" s="281"/>
      <c r="D157" s="283"/>
      <c r="E157" s="280"/>
      <c r="F157" s="285"/>
      <c r="G157" s="285"/>
      <c r="H157" s="285"/>
      <c r="I157" s="284"/>
      <c r="J157" s="164"/>
      <c r="K157" s="164"/>
      <c r="L157" s="164"/>
    </row>
    <row r="158" spans="1:33" x14ac:dyDescent="0.3">
      <c r="A158" s="281"/>
      <c r="B158" s="281"/>
      <c r="C158" s="281"/>
      <c r="D158" s="283"/>
      <c r="E158" s="280"/>
      <c r="F158" s="285"/>
      <c r="G158" s="285"/>
      <c r="H158" s="285"/>
      <c r="I158" s="284"/>
      <c r="J158" s="164"/>
      <c r="K158" s="164"/>
      <c r="L158" s="164"/>
    </row>
    <row r="159" spans="1:33" x14ac:dyDescent="0.3">
      <c r="A159" s="281"/>
      <c r="B159" s="281"/>
      <c r="C159" s="281"/>
      <c r="D159" s="283"/>
      <c r="E159" s="280"/>
      <c r="F159" s="285"/>
      <c r="G159" s="285"/>
      <c r="H159" s="285"/>
      <c r="I159" s="284"/>
      <c r="J159" s="164"/>
      <c r="K159" s="164"/>
      <c r="L159" s="164"/>
    </row>
    <row r="160" spans="1:33" x14ac:dyDescent="0.3">
      <c r="A160" s="281"/>
      <c r="B160" s="281"/>
      <c r="C160" s="281"/>
      <c r="D160" s="283"/>
      <c r="E160" s="280"/>
      <c r="F160" s="285"/>
      <c r="G160" s="285"/>
      <c r="H160" s="285"/>
      <c r="I160" s="284"/>
      <c r="J160" s="164"/>
      <c r="K160" s="164"/>
      <c r="L160" s="164"/>
    </row>
    <row r="161" spans="1:12" x14ac:dyDescent="0.3">
      <c r="A161" s="281"/>
      <c r="B161" s="281"/>
      <c r="C161" s="281"/>
      <c r="D161" s="283"/>
      <c r="E161" s="280"/>
      <c r="F161" s="285"/>
      <c r="G161" s="285"/>
      <c r="H161" s="285"/>
      <c r="I161" s="284"/>
      <c r="J161" s="164"/>
      <c r="K161" s="164"/>
      <c r="L161" s="164"/>
    </row>
    <row r="162" spans="1:12" x14ac:dyDescent="0.3">
      <c r="A162" s="281"/>
      <c r="B162" s="281"/>
      <c r="C162" s="281"/>
      <c r="D162" s="283"/>
      <c r="E162" s="280"/>
      <c r="F162" s="285"/>
      <c r="G162" s="285"/>
      <c r="H162" s="285"/>
      <c r="I162" s="284"/>
      <c r="J162" s="164"/>
      <c r="K162" s="164"/>
      <c r="L162" s="164"/>
    </row>
    <row r="163" spans="1:12" x14ac:dyDescent="0.3">
      <c r="A163" s="281"/>
      <c r="B163" s="281"/>
      <c r="C163" s="281"/>
      <c r="D163" s="283"/>
      <c r="E163" s="280"/>
      <c r="F163" s="285"/>
      <c r="G163" s="285"/>
      <c r="H163" s="285"/>
      <c r="I163" s="284"/>
      <c r="J163" s="164"/>
      <c r="K163" s="164"/>
      <c r="L163" s="164"/>
    </row>
    <row r="164" spans="1:12" x14ac:dyDescent="0.3">
      <c r="A164" s="281"/>
      <c r="B164" s="281"/>
      <c r="C164" s="281"/>
      <c r="D164" s="283"/>
      <c r="E164" s="280"/>
      <c r="F164" s="285"/>
      <c r="G164" s="285"/>
      <c r="H164" s="285"/>
      <c r="I164" s="284"/>
      <c r="J164" s="164"/>
      <c r="K164" s="164"/>
      <c r="L164" s="164"/>
    </row>
    <row r="165" spans="1:12" x14ac:dyDescent="0.3">
      <c r="A165" s="281"/>
      <c r="B165" s="281"/>
      <c r="C165" s="281"/>
      <c r="D165" s="283"/>
      <c r="E165" s="280"/>
      <c r="F165" s="285"/>
      <c r="G165" s="285"/>
      <c r="H165" s="285"/>
      <c r="I165" s="284"/>
      <c r="J165" s="164"/>
      <c r="K165" s="164"/>
      <c r="L165" s="164"/>
    </row>
    <row r="166" spans="1:12" x14ac:dyDescent="0.3">
      <c r="A166" s="281"/>
      <c r="B166" s="281"/>
      <c r="C166" s="281"/>
      <c r="D166" s="283"/>
      <c r="E166" s="280"/>
      <c r="F166" s="285"/>
      <c r="G166" s="285"/>
      <c r="H166" s="285"/>
      <c r="I166" s="284"/>
      <c r="J166" s="164"/>
      <c r="K166" s="164"/>
      <c r="L166" s="164"/>
    </row>
    <row r="167" spans="1:12" x14ac:dyDescent="0.3">
      <c r="A167" s="281"/>
      <c r="B167" s="281"/>
      <c r="C167" s="281"/>
      <c r="D167" s="283"/>
      <c r="E167" s="280"/>
      <c r="F167" s="285"/>
      <c r="G167" s="285"/>
      <c r="H167" s="285"/>
      <c r="I167" s="284"/>
      <c r="J167" s="164"/>
      <c r="K167" s="164"/>
      <c r="L167" s="164"/>
    </row>
    <row r="168" spans="1:12" x14ac:dyDescent="0.3">
      <c r="A168" s="281"/>
      <c r="B168" s="281"/>
      <c r="C168" s="281"/>
      <c r="D168" s="283"/>
      <c r="E168" s="280"/>
      <c r="F168" s="285"/>
      <c r="G168" s="285"/>
      <c r="H168" s="285"/>
      <c r="I168" s="284"/>
      <c r="J168" s="164"/>
      <c r="K168" s="164"/>
      <c r="L168" s="164"/>
    </row>
    <row r="169" spans="1:12" x14ac:dyDescent="0.3">
      <c r="A169" s="281"/>
      <c r="B169" s="281"/>
      <c r="C169" s="281"/>
      <c r="D169" s="283"/>
      <c r="E169" s="280"/>
      <c r="F169" s="280"/>
      <c r="G169" s="281"/>
      <c r="H169" s="282"/>
      <c r="I169" s="284"/>
      <c r="J169" s="164"/>
      <c r="K169" s="164"/>
      <c r="L169" s="164"/>
    </row>
    <row r="170" spans="1:12" x14ac:dyDescent="0.3">
      <c r="A170" s="286"/>
      <c r="B170" s="286"/>
      <c r="C170" s="286"/>
      <c r="D170" s="287"/>
      <c r="E170" s="288"/>
      <c r="F170" s="289"/>
      <c r="G170" s="289"/>
      <c r="H170" s="289"/>
      <c r="I170" s="9"/>
      <c r="J170" s="9"/>
      <c r="K170" s="9"/>
      <c r="L170" s="9"/>
    </row>
    <row r="171" spans="1:12" x14ac:dyDescent="0.3">
      <c r="A171" s="286"/>
      <c r="B171" s="286"/>
      <c r="C171" s="286"/>
      <c r="D171" s="287"/>
      <c r="E171" s="288"/>
      <c r="F171" s="288"/>
      <c r="G171" s="286"/>
      <c r="H171" s="290"/>
      <c r="I171" s="9"/>
      <c r="J171" s="9"/>
      <c r="K171" s="9"/>
      <c r="L171" s="9"/>
    </row>
    <row r="172" spans="1:12" x14ac:dyDescent="0.3">
      <c r="A172" s="286"/>
      <c r="B172" s="286"/>
      <c r="C172" s="286"/>
      <c r="D172" s="287"/>
      <c r="E172" s="288"/>
      <c r="F172" s="289">
        <f>F154-F170</f>
        <v>0</v>
      </c>
      <c r="G172" s="289">
        <f t="shared" ref="G172" si="92">G154-G170</f>
        <v>0</v>
      </c>
      <c r="H172" s="289"/>
      <c r="I172" s="9"/>
      <c r="J172" s="9"/>
      <c r="K172" s="9"/>
      <c r="L172" s="9"/>
    </row>
    <row r="173" spans="1:12" x14ac:dyDescent="0.3">
      <c r="A173" s="286"/>
      <c r="B173" s="286"/>
      <c r="C173" s="286"/>
      <c r="D173" s="287"/>
      <c r="E173" s="288"/>
      <c r="F173" s="289"/>
      <c r="G173" s="289"/>
      <c r="H173" s="289"/>
      <c r="I173" s="9"/>
      <c r="J173" s="9"/>
      <c r="K173" s="9"/>
      <c r="L173" s="9"/>
    </row>
    <row r="174" spans="1:12" x14ac:dyDescent="0.3">
      <c r="A174" s="286"/>
      <c r="B174" s="286"/>
      <c r="C174" s="286"/>
      <c r="D174" s="287"/>
      <c r="E174" s="288"/>
      <c r="F174" s="288"/>
      <c r="G174" s="286"/>
      <c r="H174" s="290"/>
      <c r="I174" s="9"/>
      <c r="J174" s="9"/>
      <c r="K174" s="9"/>
      <c r="L174" s="9"/>
    </row>
    <row r="175" spans="1:12" x14ac:dyDescent="0.3">
      <c r="A175" s="286"/>
      <c r="B175" s="286"/>
      <c r="C175" s="286"/>
      <c r="D175" s="287"/>
      <c r="E175" s="288"/>
      <c r="F175" s="288"/>
      <c r="G175" s="286"/>
      <c r="H175" s="290"/>
      <c r="I175" s="9"/>
      <c r="J175" s="9"/>
      <c r="K175" s="9"/>
      <c r="L175" s="9"/>
    </row>
    <row r="176" spans="1:12" x14ac:dyDescent="0.3">
      <c r="A176" s="286"/>
      <c r="B176" s="286"/>
      <c r="C176" s="286"/>
      <c r="D176" s="287"/>
      <c r="E176" s="288"/>
      <c r="F176" s="288"/>
      <c r="G176" s="286"/>
      <c r="H176" s="290"/>
      <c r="I176" s="9"/>
      <c r="J176" s="9"/>
      <c r="K176" s="9"/>
      <c r="L176" s="9"/>
    </row>
  </sheetData>
  <mergeCells count="277">
    <mergeCell ref="A147:H147"/>
    <mergeCell ref="A148:H148"/>
    <mergeCell ref="A149:H149"/>
    <mergeCell ref="A150:H150"/>
    <mergeCell ref="A151:H151"/>
    <mergeCell ref="A152:E152"/>
    <mergeCell ref="A141:H141"/>
    <mergeCell ref="A142:H142"/>
    <mergeCell ref="A143:H143"/>
    <mergeCell ref="A144:H144"/>
    <mergeCell ref="A145:H145"/>
    <mergeCell ref="A146:H146"/>
    <mergeCell ref="C135:H135"/>
    <mergeCell ref="B136:H136"/>
    <mergeCell ref="A137:H137"/>
    <mergeCell ref="A138:H138"/>
    <mergeCell ref="A139:H139"/>
    <mergeCell ref="A140:H140"/>
    <mergeCell ref="A132:A134"/>
    <mergeCell ref="B132:B134"/>
    <mergeCell ref="C132:C134"/>
    <mergeCell ref="D132:D134"/>
    <mergeCell ref="F132:F133"/>
    <mergeCell ref="F134:H134"/>
    <mergeCell ref="C125:H125"/>
    <mergeCell ref="C126:X126"/>
    <mergeCell ref="A127:A131"/>
    <mergeCell ref="B127:B131"/>
    <mergeCell ref="C127:C131"/>
    <mergeCell ref="D127:D131"/>
    <mergeCell ref="F127:F130"/>
    <mergeCell ref="G127:G130"/>
    <mergeCell ref="E129:E130"/>
    <mergeCell ref="F131:H131"/>
    <mergeCell ref="A123:A124"/>
    <mergeCell ref="B123:B124"/>
    <mergeCell ref="C123:C124"/>
    <mergeCell ref="D123:D124"/>
    <mergeCell ref="E123:E124"/>
    <mergeCell ref="F124:H124"/>
    <mergeCell ref="A121:A122"/>
    <mergeCell ref="B121:B122"/>
    <mergeCell ref="C121:C122"/>
    <mergeCell ref="D121:D122"/>
    <mergeCell ref="E121:E122"/>
    <mergeCell ref="F122:H122"/>
    <mergeCell ref="G114:G117"/>
    <mergeCell ref="F118:H118"/>
    <mergeCell ref="A119:A120"/>
    <mergeCell ref="B119:B120"/>
    <mergeCell ref="C119:C120"/>
    <mergeCell ref="D119:D120"/>
    <mergeCell ref="E119:E120"/>
    <mergeCell ref="F120:H120"/>
    <mergeCell ref="A114:A118"/>
    <mergeCell ref="B114:B118"/>
    <mergeCell ref="C114:C118"/>
    <mergeCell ref="D114:D118"/>
    <mergeCell ref="E114:E118"/>
    <mergeCell ref="F114:F117"/>
    <mergeCell ref="A112:A113"/>
    <mergeCell ref="B112:B113"/>
    <mergeCell ref="C112:C113"/>
    <mergeCell ref="D112:D113"/>
    <mergeCell ref="E112:E113"/>
    <mergeCell ref="F113:H113"/>
    <mergeCell ref="A107:A111"/>
    <mergeCell ref="B107:B111"/>
    <mergeCell ref="C107:C111"/>
    <mergeCell ref="D107:D111"/>
    <mergeCell ref="F107:F110"/>
    <mergeCell ref="G107:G108"/>
    <mergeCell ref="F111:H111"/>
    <mergeCell ref="C101:H101"/>
    <mergeCell ref="B102:H102"/>
    <mergeCell ref="B103:X103"/>
    <mergeCell ref="C104:X104"/>
    <mergeCell ref="A105:A106"/>
    <mergeCell ref="B105:B106"/>
    <mergeCell ref="C105:C106"/>
    <mergeCell ref="D105:D106"/>
    <mergeCell ref="F106:H106"/>
    <mergeCell ref="C95:H95"/>
    <mergeCell ref="C96:X96"/>
    <mergeCell ref="A97:A100"/>
    <mergeCell ref="B97:B100"/>
    <mergeCell ref="C97:C100"/>
    <mergeCell ref="D97:D100"/>
    <mergeCell ref="E97:E100"/>
    <mergeCell ref="F97:F99"/>
    <mergeCell ref="G97:G99"/>
    <mergeCell ref="F100:H100"/>
    <mergeCell ref="A93:A94"/>
    <mergeCell ref="B93:B94"/>
    <mergeCell ref="C93:C94"/>
    <mergeCell ref="D93:D94"/>
    <mergeCell ref="E93:E94"/>
    <mergeCell ref="F94:H94"/>
    <mergeCell ref="C87:H87"/>
    <mergeCell ref="B88:H88"/>
    <mergeCell ref="B89:X89"/>
    <mergeCell ref="C90:X90"/>
    <mergeCell ref="A91:A92"/>
    <mergeCell ref="B91:B92"/>
    <mergeCell ref="C91:C92"/>
    <mergeCell ref="D91:D92"/>
    <mergeCell ref="E91:E92"/>
    <mergeCell ref="F92:H92"/>
    <mergeCell ref="F84:H84"/>
    <mergeCell ref="A85:A86"/>
    <mergeCell ref="B85:B86"/>
    <mergeCell ref="C85:C86"/>
    <mergeCell ref="D85:D86"/>
    <mergeCell ref="E85:E86"/>
    <mergeCell ref="F86:H86"/>
    <mergeCell ref="A81:A84"/>
    <mergeCell ref="B81:B84"/>
    <mergeCell ref="C81:C84"/>
    <mergeCell ref="D81:D84"/>
    <mergeCell ref="E81:E84"/>
    <mergeCell ref="F81:F83"/>
    <mergeCell ref="A75:A80"/>
    <mergeCell ref="B75:B80"/>
    <mergeCell ref="C75:C80"/>
    <mergeCell ref="D75:D80"/>
    <mergeCell ref="E75:E79"/>
    <mergeCell ref="F75:F79"/>
    <mergeCell ref="G75:G79"/>
    <mergeCell ref="F80:H80"/>
    <mergeCell ref="G81:G83"/>
    <mergeCell ref="C66:H66"/>
    <mergeCell ref="B67:H67"/>
    <mergeCell ref="B68:X68"/>
    <mergeCell ref="C69:X69"/>
    <mergeCell ref="A70:A74"/>
    <mergeCell ref="B70:B74"/>
    <mergeCell ref="C70:C74"/>
    <mergeCell ref="D70:D74"/>
    <mergeCell ref="E70:E72"/>
    <mergeCell ref="F70:F72"/>
    <mergeCell ref="G70:G73"/>
    <mergeCell ref="F74:H74"/>
    <mergeCell ref="A63:A65"/>
    <mergeCell ref="B63:B65"/>
    <mergeCell ref="C63:C65"/>
    <mergeCell ref="D63:D65"/>
    <mergeCell ref="F65:H65"/>
    <mergeCell ref="F58:H58"/>
    <mergeCell ref="A59:A62"/>
    <mergeCell ref="B59:B62"/>
    <mergeCell ref="C59:C62"/>
    <mergeCell ref="D59:D62"/>
    <mergeCell ref="E59:E62"/>
    <mergeCell ref="F59:F61"/>
    <mergeCell ref="G59:G61"/>
    <mergeCell ref="F62:H62"/>
    <mergeCell ref="H63:H64"/>
    <mergeCell ref="G63:G64"/>
    <mergeCell ref="F63:F64"/>
    <mergeCell ref="F54:H54"/>
    <mergeCell ref="C55:H55"/>
    <mergeCell ref="C56:X56"/>
    <mergeCell ref="A57:A58"/>
    <mergeCell ref="B57:B58"/>
    <mergeCell ref="C57:C58"/>
    <mergeCell ref="D57:D58"/>
    <mergeCell ref="E57:E58"/>
    <mergeCell ref="A46:A54"/>
    <mergeCell ref="B46:B54"/>
    <mergeCell ref="C46:C54"/>
    <mergeCell ref="D46:D54"/>
    <mergeCell ref="F46:F53"/>
    <mergeCell ref="G46:G53"/>
    <mergeCell ref="H46:H53"/>
    <mergeCell ref="G39:G42"/>
    <mergeCell ref="F43:H43"/>
    <mergeCell ref="A44:A45"/>
    <mergeCell ref="B44:B45"/>
    <mergeCell ref="C44:C45"/>
    <mergeCell ref="D44:D45"/>
    <mergeCell ref="E44:E45"/>
    <mergeCell ref="F45:H45"/>
    <mergeCell ref="A39:A43"/>
    <mergeCell ref="B39:B43"/>
    <mergeCell ref="C39:C43"/>
    <mergeCell ref="D39:D43"/>
    <mergeCell ref="E39:E43"/>
    <mergeCell ref="F39:F42"/>
    <mergeCell ref="G31:G33"/>
    <mergeCell ref="F34:H34"/>
    <mergeCell ref="A35:A38"/>
    <mergeCell ref="B35:B38"/>
    <mergeCell ref="C35:C38"/>
    <mergeCell ref="D35:D38"/>
    <mergeCell ref="E35:E38"/>
    <mergeCell ref="F35:F37"/>
    <mergeCell ref="G35:G37"/>
    <mergeCell ref="F38:H38"/>
    <mergeCell ref="A31:A34"/>
    <mergeCell ref="B31:B34"/>
    <mergeCell ref="C31:C34"/>
    <mergeCell ref="D31:D34"/>
    <mergeCell ref="E31:E34"/>
    <mergeCell ref="F31:F33"/>
    <mergeCell ref="G23:G25"/>
    <mergeCell ref="F26:H26"/>
    <mergeCell ref="A27:A30"/>
    <mergeCell ref="B27:B30"/>
    <mergeCell ref="C27:C30"/>
    <mergeCell ref="D27:D30"/>
    <mergeCell ref="E27:E30"/>
    <mergeCell ref="F27:F29"/>
    <mergeCell ref="G27:G29"/>
    <mergeCell ref="F30:H30"/>
    <mergeCell ref="A23:A26"/>
    <mergeCell ref="B23:B26"/>
    <mergeCell ref="C23:C26"/>
    <mergeCell ref="D23:D26"/>
    <mergeCell ref="E23:E26"/>
    <mergeCell ref="F23:F25"/>
    <mergeCell ref="A16:A18"/>
    <mergeCell ref="B16:B18"/>
    <mergeCell ref="C16:C18"/>
    <mergeCell ref="D16:D18"/>
    <mergeCell ref="E16:E18"/>
    <mergeCell ref="F16:F17"/>
    <mergeCell ref="G16:G17"/>
    <mergeCell ref="F18:H18"/>
    <mergeCell ref="A19:A22"/>
    <mergeCell ref="B19:B22"/>
    <mergeCell ref="C19:C22"/>
    <mergeCell ref="D19:D22"/>
    <mergeCell ref="E19:E22"/>
    <mergeCell ref="F19:F21"/>
    <mergeCell ref="G19:G21"/>
    <mergeCell ref="F22:H22"/>
    <mergeCell ref="T6:T7"/>
    <mergeCell ref="X6:X7"/>
    <mergeCell ref="A8:X8"/>
    <mergeCell ref="A9:X9"/>
    <mergeCell ref="B10:X10"/>
    <mergeCell ref="C11:X11"/>
    <mergeCell ref="A12:A15"/>
    <mergeCell ref="B12:B15"/>
    <mergeCell ref="C12:C15"/>
    <mergeCell ref="D12:D15"/>
    <mergeCell ref="E12:E15"/>
    <mergeCell ref="F4:F7"/>
    <mergeCell ref="G4:G7"/>
    <mergeCell ref="H4:H7"/>
    <mergeCell ref="F12:F14"/>
    <mergeCell ref="G12:G14"/>
    <mergeCell ref="F15:H15"/>
    <mergeCell ref="U1:X1"/>
    <mergeCell ref="A2:X2"/>
    <mergeCell ref="O3:P3"/>
    <mergeCell ref="S3:T3"/>
    <mergeCell ref="W3:X3"/>
    <mergeCell ref="A4:A7"/>
    <mergeCell ref="B4:B7"/>
    <mergeCell ref="C4:C7"/>
    <mergeCell ref="D4:D7"/>
    <mergeCell ref="E4:E7"/>
    <mergeCell ref="U4:X4"/>
    <mergeCell ref="I5:I7"/>
    <mergeCell ref="J5:L5"/>
    <mergeCell ref="M5:M7"/>
    <mergeCell ref="N5:P5"/>
    <mergeCell ref="Q5:Q7"/>
    <mergeCell ref="R5:T5"/>
    <mergeCell ref="U5:U7"/>
    <mergeCell ref="V5:X5"/>
    <mergeCell ref="L6:L7"/>
    <mergeCell ref="I4:L4"/>
    <mergeCell ref="M4:P4"/>
    <mergeCell ref="Q4:T4"/>
    <mergeCell ref="P6:P7"/>
  </mergeCells>
  <pageMargins left="0.23622047244094491" right="0.23622047244094491" top="0.74803149606299213" bottom="0.74803149606299213" header="0.31496062992125984" footer="0.31496062992125984"/>
  <pageSetup paperSize="9" scale="78" fitToHeight="17" orientation="landscape" cellComments="asDisplayed" r:id="rId1"/>
  <headerFooter>
    <oddHeader>&amp;C&amp;P&amp;R&amp;10 7 programa</oddHeader>
  </headerFooter>
  <rowBreaks count="4" manualBreakCount="4">
    <brk id="55" max="23" man="1"/>
    <brk id="74" max="23" man="1"/>
    <brk id="102" max="23" man="1"/>
    <brk id="125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7 programa</vt:lpstr>
      <vt:lpstr>'7 programa'!Print_Area</vt:lpstr>
      <vt:lpstr>'7 programa'!Print_Titles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Vaida Čedavičienė</cp:lastModifiedBy>
  <dcterms:created xsi:type="dcterms:W3CDTF">2022-01-26T09:51:29Z</dcterms:created>
  <dcterms:modified xsi:type="dcterms:W3CDTF">2022-05-11T20:25:36Z</dcterms:modified>
</cp:coreProperties>
</file>