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rateginio planavimo ir projektu valdymo skyrius\Bendras Strateginis\1 VARDAI\Vaidos\STRATEGINIS PLANAVIMAS\SVP 2022-2024 m\2022-2024 tikslinimas_2022-03\TS SVP 2022_2024_2022-03-31_T11-\"/>
    </mc:Choice>
  </mc:AlternateContent>
  <bookViews>
    <workbookView xWindow="28680" yWindow="-120" windowWidth="29040" windowHeight="15840" tabRatio="880" firstSheet="9" activeTab="9"/>
  </bookViews>
  <sheets>
    <sheet name="1 programa" sheetId="14" state="hidden" r:id="rId1"/>
    <sheet name="2 programa" sheetId="15" state="hidden" r:id="rId2"/>
    <sheet name="3 programa" sheetId="16" state="hidden" r:id="rId3"/>
    <sheet name="4 programa" sheetId="23" state="hidden" r:id="rId4"/>
    <sheet name="5 programa" sheetId="19" state="hidden" r:id="rId5"/>
    <sheet name="6 programa" sheetId="22" state="hidden" r:id="rId6"/>
    <sheet name="7 programa" sheetId="18" state="hidden" r:id="rId7"/>
    <sheet name="8 programa" sheetId="10" state="hidden" r:id="rId8"/>
    <sheet name="9 programa" sheetId="24" state="hidden" r:id="rId9"/>
    <sheet name="SUVESTINĖ" sheetId="12" r:id="rId10"/>
    <sheet name="2022 m. tikslai" sheetId="13" r:id="rId11"/>
  </sheets>
  <definedNames>
    <definedName name="_xlnm._FilterDatabase" localSheetId="6" hidden="1">'7 programa'!$A$12:$AH$148</definedName>
    <definedName name="_xlnm.Print_Area" localSheetId="0">'1 programa'!$A$1:$X$326</definedName>
    <definedName name="_xlnm.Print_Area" localSheetId="1">'2 programa'!$A$1:$X$110</definedName>
    <definedName name="_xlnm.Print_Area" localSheetId="2">'3 programa'!$A$1:$X$139</definedName>
    <definedName name="_xlnm.Print_Area" localSheetId="3">'4 programa'!$A$1:$X$107</definedName>
    <definedName name="_xlnm.Print_Area" localSheetId="4">'5 programa'!$A$1:$X$176</definedName>
    <definedName name="_xlnm.Print_Area" localSheetId="6">'7 programa'!$A$1:$X$149</definedName>
    <definedName name="_xlnm.Print_Area" localSheetId="8">'9 programa'!$A$1:$X$396</definedName>
    <definedName name="_xlnm.Print_Area" localSheetId="9">SUVESTINĖ!$A$1:$T$162</definedName>
    <definedName name="_xlnm.Print_Titles" localSheetId="0">'1 programa'!$4:$7</definedName>
    <definedName name="_xlnm.Print_Titles" localSheetId="1">'2 programa'!$4:$7</definedName>
    <definedName name="_xlnm.Print_Titles" localSheetId="2">'3 programa'!$4:$7</definedName>
    <definedName name="_xlnm.Print_Titles" localSheetId="3">'4 programa'!$4:$7</definedName>
    <definedName name="_xlnm.Print_Titles" localSheetId="4">'5 programa'!$4:$7</definedName>
    <definedName name="_xlnm.Print_Titles" localSheetId="6">'7 programa'!$4:$7</definedName>
    <definedName name="_xlnm.Print_Titles" localSheetId="8">'9 programa'!$4:$7</definedName>
    <definedName name="_xlnm.Print_Titles" localSheetId="9">SUVESTINĖ!$4:$7</definedName>
    <definedName name="Z_A28EC0FB_EEE4_4233_A9CD_1D014DCADB7D_.wvu.PrintArea" localSheetId="0" hidden="1">'1 programa'!$A$2:$H$287</definedName>
    <definedName name="Z_A28EC0FB_EEE4_4233_A9CD_1D014DCADB7D_.wvu.PrintTitles" localSheetId="0" hidden="1">'1 programa'!$4:$7</definedName>
    <definedName name="Z_EACC77BB_28DE_4121_A338_C86723D88B9D_.wvu.PrintArea" localSheetId="0" hidden="1">'1 programa'!$A$2:$H$287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4" i="12" l="1"/>
  <c r="Q154" i="12" s="1"/>
  <c r="S154" i="12"/>
  <c r="R154" i="12"/>
  <c r="P154" i="12"/>
  <c r="M154" i="12" s="1"/>
  <c r="O154" i="12"/>
  <c r="N154" i="12"/>
  <c r="L154" i="12"/>
  <c r="K154" i="12"/>
  <c r="J154" i="12"/>
  <c r="G154" i="12"/>
  <c r="H154" i="12"/>
  <c r="F154" i="12"/>
  <c r="T155" i="12"/>
  <c r="Q155" i="12" s="1"/>
  <c r="S155" i="12"/>
  <c r="R155" i="12"/>
  <c r="P155" i="12"/>
  <c r="M155" i="12" s="1"/>
  <c r="O155" i="12"/>
  <c r="N155" i="12"/>
  <c r="L155" i="12"/>
  <c r="K155" i="12"/>
  <c r="J155" i="12"/>
  <c r="G155" i="12"/>
  <c r="H155" i="12"/>
  <c r="F155" i="12"/>
  <c r="T140" i="12"/>
  <c r="S140" i="12"/>
  <c r="R140" i="12"/>
  <c r="P140" i="12"/>
  <c r="O140" i="12"/>
  <c r="N140" i="12"/>
  <c r="L140" i="12"/>
  <c r="K140" i="12"/>
  <c r="J140" i="12"/>
  <c r="I140" i="12" s="1"/>
  <c r="G140" i="12"/>
  <c r="H140" i="12"/>
  <c r="F140" i="12"/>
  <c r="T142" i="12"/>
  <c r="S142" i="12"/>
  <c r="R142" i="12"/>
  <c r="P142" i="12"/>
  <c r="O142" i="12"/>
  <c r="N142" i="12"/>
  <c r="L142" i="12"/>
  <c r="K142" i="12"/>
  <c r="J142" i="12"/>
  <c r="I142" i="12" s="1"/>
  <c r="G142" i="12"/>
  <c r="H142" i="12"/>
  <c r="F142" i="12"/>
  <c r="E142" i="12" s="1"/>
  <c r="T139" i="12"/>
  <c r="S139" i="12"/>
  <c r="R139" i="12"/>
  <c r="P139" i="12"/>
  <c r="O139" i="12"/>
  <c r="N139" i="12"/>
  <c r="L139" i="12"/>
  <c r="K139" i="12"/>
  <c r="J139" i="12"/>
  <c r="G139" i="12"/>
  <c r="H139" i="12"/>
  <c r="F139" i="12"/>
  <c r="Q142" i="12" l="1"/>
  <c r="Q140" i="12"/>
  <c r="I155" i="12"/>
  <c r="I154" i="12"/>
  <c r="M142" i="12"/>
  <c r="M140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E87" i="12"/>
  <c r="M75" i="19" l="1"/>
  <c r="M71" i="19"/>
  <c r="M67" i="19"/>
  <c r="P46" i="18" l="1"/>
  <c r="N46" i="18"/>
  <c r="I75" i="19" l="1"/>
  <c r="I67" i="19"/>
  <c r="I61" i="19"/>
  <c r="I45" i="19"/>
  <c r="M46" i="18" l="1"/>
  <c r="N85" i="19"/>
  <c r="N207" i="14"/>
  <c r="X103" i="15"/>
  <c r="W103" i="15"/>
  <c r="V103" i="15"/>
  <c r="T103" i="15"/>
  <c r="S103" i="15"/>
  <c r="R103" i="15"/>
  <c r="P103" i="15"/>
  <c r="O103" i="15"/>
  <c r="N103" i="15"/>
  <c r="K103" i="15"/>
  <c r="W97" i="15"/>
  <c r="V97" i="15"/>
  <c r="U97" i="15" s="1"/>
  <c r="S97" i="15"/>
  <c r="R97" i="15"/>
  <c r="Q97" i="15" s="1"/>
  <c r="P97" i="15"/>
  <c r="O97" i="15"/>
  <c r="N97" i="15"/>
  <c r="K97" i="15"/>
  <c r="J97" i="15"/>
  <c r="U96" i="15"/>
  <c r="Q96" i="15"/>
  <c r="M96" i="15"/>
  <c r="L96" i="15"/>
  <c r="L97" i="15" s="1"/>
  <c r="I97" i="15" s="1"/>
  <c r="I96" i="15"/>
  <c r="J188" i="14"/>
  <c r="L186" i="14"/>
  <c r="K186" i="14"/>
  <c r="J185" i="14"/>
  <c r="J184" i="14"/>
  <c r="J186" i="14" s="1"/>
  <c r="L183" i="14"/>
  <c r="K183" i="14"/>
  <c r="J183" i="14"/>
  <c r="K179" i="14"/>
  <c r="J179" i="14"/>
  <c r="L176" i="14"/>
  <c r="K176" i="14"/>
  <c r="J176" i="14"/>
  <c r="L172" i="14"/>
  <c r="K172" i="14"/>
  <c r="J172" i="14"/>
  <c r="L167" i="14"/>
  <c r="K167" i="14"/>
  <c r="J167" i="14"/>
  <c r="J162" i="14"/>
  <c r="L160" i="14"/>
  <c r="K160" i="14"/>
  <c r="J160" i="14"/>
  <c r="J156" i="14"/>
  <c r="J155" i="14"/>
  <c r="L151" i="14"/>
  <c r="J151" i="14"/>
  <c r="K145" i="14"/>
  <c r="K151" i="14" s="1"/>
  <c r="L144" i="14"/>
  <c r="K144" i="14"/>
  <c r="J144" i="14"/>
  <c r="L138" i="14"/>
  <c r="J138" i="14"/>
  <c r="K134" i="14"/>
  <c r="K138" i="14" s="1"/>
  <c r="L133" i="14"/>
  <c r="J133" i="14"/>
  <c r="K129" i="14"/>
  <c r="K133" i="14" s="1"/>
  <c r="L128" i="14"/>
  <c r="K128" i="14"/>
  <c r="J128" i="14"/>
  <c r="L123" i="14"/>
  <c r="K123" i="14"/>
  <c r="J121" i="14"/>
  <c r="J119" i="14"/>
  <c r="J123" i="14" s="1"/>
  <c r="L118" i="14"/>
  <c r="K118" i="14"/>
  <c r="J116" i="14"/>
  <c r="J118" i="14" s="1"/>
  <c r="L111" i="14"/>
  <c r="K111" i="14"/>
  <c r="J106" i="14"/>
  <c r="J111" i="14" s="1"/>
  <c r="L104" i="14"/>
  <c r="K104" i="14"/>
  <c r="J104" i="14"/>
  <c r="L96" i="14"/>
  <c r="K96" i="14"/>
  <c r="J96" i="14"/>
  <c r="J91" i="14"/>
  <c r="L89" i="14"/>
  <c r="K82" i="14"/>
  <c r="K89" i="14" s="1"/>
  <c r="J82" i="14"/>
  <c r="J89" i="14" s="1"/>
  <c r="L81" i="14"/>
  <c r="K81" i="14"/>
  <c r="J79" i="14"/>
  <c r="J81" i="14" s="1"/>
  <c r="L73" i="14"/>
  <c r="K73" i="14"/>
  <c r="J66" i="14"/>
  <c r="J73" i="14" s="1"/>
  <c r="L65" i="14"/>
  <c r="K65" i="14"/>
  <c r="J65" i="14"/>
  <c r="L58" i="14"/>
  <c r="K58" i="14"/>
  <c r="K54" i="14"/>
  <c r="J54" i="14"/>
  <c r="J58" i="14" s="1"/>
  <c r="L50" i="14"/>
  <c r="K50" i="14"/>
  <c r="J49" i="14"/>
  <c r="J50" i="14" s="1"/>
  <c r="L42" i="14"/>
  <c r="K38" i="14"/>
  <c r="K42" i="14" s="1"/>
  <c r="J38" i="14"/>
  <c r="J42" i="14" s="1"/>
  <c r="L34" i="14"/>
  <c r="J34" i="14"/>
  <c r="K28" i="14"/>
  <c r="K34" i="14" s="1"/>
  <c r="J28" i="14"/>
  <c r="L27" i="14"/>
  <c r="K27" i="14"/>
  <c r="J26" i="14"/>
  <c r="J27" i="14" s="1"/>
  <c r="L19" i="14"/>
  <c r="K19" i="14"/>
  <c r="J19" i="14"/>
  <c r="L103" i="15" l="1"/>
  <c r="M97" i="15"/>
  <c r="W221" i="24"/>
  <c r="V221" i="24"/>
  <c r="U221" i="24" s="1"/>
  <c r="S221" i="24"/>
  <c r="R221" i="24"/>
  <c r="Q221" i="24"/>
  <c r="O221" i="24"/>
  <c r="N221" i="24"/>
  <c r="M221" i="24" s="1"/>
  <c r="L221" i="24"/>
  <c r="K221" i="24"/>
  <c r="J221" i="24"/>
  <c r="I221" i="24" s="1"/>
  <c r="U220" i="24"/>
  <c r="Q220" i="24"/>
  <c r="M220" i="24"/>
  <c r="I220" i="24"/>
  <c r="X164" i="19" l="1"/>
  <c r="W164" i="19"/>
  <c r="V164" i="19"/>
  <c r="T164" i="19"/>
  <c r="S164" i="19"/>
  <c r="R164" i="19"/>
  <c r="O164" i="19"/>
  <c r="K164" i="19"/>
  <c r="L164" i="19"/>
  <c r="X139" i="19"/>
  <c r="W139" i="19"/>
  <c r="V139" i="19"/>
  <c r="T139" i="19"/>
  <c r="S139" i="19"/>
  <c r="R139" i="19"/>
  <c r="P139" i="19"/>
  <c r="O139" i="19"/>
  <c r="N139" i="19"/>
  <c r="K139" i="19"/>
  <c r="L139" i="19"/>
  <c r="X166" i="19"/>
  <c r="W166" i="19"/>
  <c r="V166" i="19"/>
  <c r="T166" i="19"/>
  <c r="S166" i="19"/>
  <c r="P166" i="19"/>
  <c r="O166" i="19"/>
  <c r="L166" i="19"/>
  <c r="X111" i="19"/>
  <c r="W111" i="19"/>
  <c r="T111" i="19"/>
  <c r="S111" i="19"/>
  <c r="P111" i="19"/>
  <c r="O111" i="19"/>
  <c r="K111" i="19"/>
  <c r="L111" i="19"/>
  <c r="J111" i="19"/>
  <c r="V109" i="19"/>
  <c r="V111" i="19" s="1"/>
  <c r="U109" i="19"/>
  <c r="R109" i="19"/>
  <c r="R111" i="19" s="1"/>
  <c r="N109" i="19"/>
  <c r="N166" i="19" s="1"/>
  <c r="M109" i="19" l="1"/>
  <c r="R166" i="19"/>
  <c r="N111" i="19"/>
  <c r="Q109" i="19"/>
  <c r="X105" i="23"/>
  <c r="W105" i="23"/>
  <c r="V105" i="23"/>
  <c r="T105" i="23"/>
  <c r="S105" i="23"/>
  <c r="R105" i="23"/>
  <c r="P105" i="23"/>
  <c r="O105" i="23"/>
  <c r="N105" i="23"/>
  <c r="K105" i="23"/>
  <c r="L105" i="23"/>
  <c r="J105" i="23"/>
  <c r="Q66" i="23"/>
  <c r="Q67" i="23" s="1"/>
  <c r="T67" i="23"/>
  <c r="S67" i="23"/>
  <c r="R67" i="23"/>
  <c r="P67" i="23"/>
  <c r="O67" i="23"/>
  <c r="N67" i="23"/>
  <c r="K67" i="23"/>
  <c r="L67" i="23"/>
  <c r="J67" i="23"/>
  <c r="X67" i="23"/>
  <c r="W67" i="23"/>
  <c r="V67" i="23"/>
  <c r="U67" i="23"/>
  <c r="I67" i="23"/>
  <c r="M66" i="23"/>
  <c r="M67" i="23" s="1"/>
  <c r="O142" i="14"/>
  <c r="N142" i="14"/>
  <c r="O136" i="14"/>
  <c r="N136" i="14"/>
  <c r="O131" i="14"/>
  <c r="N131" i="14"/>
  <c r="O126" i="14"/>
  <c r="N126" i="14"/>
  <c r="O121" i="14"/>
  <c r="N121" i="14"/>
  <c r="N17" i="24" l="1"/>
  <c r="X321" i="14" l="1"/>
  <c r="W321" i="14"/>
  <c r="V321" i="14"/>
  <c r="T321" i="14"/>
  <c r="S321" i="14"/>
  <c r="R321" i="14"/>
  <c r="P321" i="14"/>
  <c r="O321" i="14"/>
  <c r="N321" i="14"/>
  <c r="K321" i="14"/>
  <c r="K220" i="14"/>
  <c r="I220" i="14"/>
  <c r="I219" i="14"/>
  <c r="I202" i="14"/>
  <c r="I201" i="14"/>
  <c r="I200" i="14"/>
  <c r="I197" i="14"/>
  <c r="I196" i="14"/>
  <c r="I195" i="14"/>
  <c r="I150" i="14"/>
  <c r="I149" i="14"/>
  <c r="I148" i="14"/>
  <c r="I147" i="14"/>
  <c r="I145" i="14"/>
  <c r="I143" i="14"/>
  <c r="I142" i="14"/>
  <c r="I141" i="14"/>
  <c r="I140" i="14"/>
  <c r="I139" i="14"/>
  <c r="I137" i="14"/>
  <c r="I136" i="14"/>
  <c r="I135" i="14"/>
  <c r="I134" i="14"/>
  <c r="I132" i="14"/>
  <c r="I131" i="14"/>
  <c r="I130" i="14"/>
  <c r="I129" i="14"/>
  <c r="I127" i="14"/>
  <c r="I126" i="14"/>
  <c r="I125" i="14"/>
  <c r="I124" i="14"/>
  <c r="I122" i="14"/>
  <c r="I121" i="14"/>
  <c r="I120" i="14"/>
  <c r="I119" i="14"/>
  <c r="I117" i="14"/>
  <c r="I116" i="14"/>
  <c r="I115" i="14"/>
  <c r="I114" i="14"/>
  <c r="I112" i="14"/>
  <c r="I110" i="14"/>
  <c r="I109" i="14"/>
  <c r="I108" i="14"/>
  <c r="I107" i="14"/>
  <c r="I106" i="14"/>
  <c r="I105" i="14"/>
  <c r="I103" i="14"/>
  <c r="I102" i="14"/>
  <c r="I101" i="14"/>
  <c r="I100" i="14"/>
  <c r="I99" i="14"/>
  <c r="I97" i="14"/>
  <c r="I95" i="14"/>
  <c r="I94" i="14"/>
  <c r="I93" i="14"/>
  <c r="I92" i="14"/>
  <c r="I91" i="14"/>
  <c r="I90" i="14"/>
  <c r="I88" i="14"/>
  <c r="I86" i="14"/>
  <c r="I85" i="14"/>
  <c r="I84" i="14"/>
  <c r="I82" i="14"/>
  <c r="I80" i="14"/>
  <c r="I79" i="14"/>
  <c r="I78" i="14"/>
  <c r="I77" i="14"/>
  <c r="I76" i="14"/>
  <c r="I75" i="14"/>
  <c r="I74" i="14"/>
  <c r="I72" i="14"/>
  <c r="I71" i="14"/>
  <c r="I70" i="14"/>
  <c r="I69" i="14"/>
  <c r="I68" i="14"/>
  <c r="I66" i="14"/>
  <c r="I64" i="14"/>
  <c r="I63" i="14"/>
  <c r="I62" i="14"/>
  <c r="I61" i="14"/>
  <c r="I59" i="14"/>
  <c r="I57" i="14"/>
  <c r="I56" i="14"/>
  <c r="I55" i="14"/>
  <c r="I53" i="14"/>
  <c r="I51" i="14"/>
  <c r="I49" i="14"/>
  <c r="I48" i="14"/>
  <c r="I47" i="14"/>
  <c r="I46" i="14"/>
  <c r="I45" i="14"/>
  <c r="I43" i="14"/>
  <c r="I41" i="14"/>
  <c r="I40" i="14"/>
  <c r="I39" i="14"/>
  <c r="I38" i="14"/>
  <c r="I37" i="14"/>
  <c r="I36" i="14"/>
  <c r="I35" i="14"/>
  <c r="I33" i="14"/>
  <c r="I31" i="14"/>
  <c r="I28" i="14"/>
  <c r="I26" i="14"/>
  <c r="I25" i="14"/>
  <c r="I24" i="14"/>
  <c r="I23" i="14"/>
  <c r="I22" i="14"/>
  <c r="I21" i="14"/>
  <c r="I20" i="14"/>
  <c r="I152" i="14"/>
  <c r="I153" i="14"/>
  <c r="I154" i="14"/>
  <c r="I155" i="14"/>
  <c r="I18" i="14"/>
  <c r="I17" i="14"/>
  <c r="I15" i="14"/>
  <c r="I14" i="14"/>
  <c r="I12" i="14"/>
  <c r="I156" i="14" l="1"/>
  <c r="I144" i="14"/>
  <c r="I89" i="14"/>
  <c r="I30" i="14"/>
  <c r="I58" i="14"/>
  <c r="I133" i="14"/>
  <c r="I128" i="14"/>
  <c r="I123" i="14"/>
  <c r="I96" i="14"/>
  <c r="I138" i="14"/>
  <c r="I118" i="14"/>
  <c r="I111" i="14"/>
  <c r="I81" i="14"/>
  <c r="I27" i="14"/>
  <c r="I34" i="14"/>
  <c r="I50" i="14"/>
  <c r="I151" i="14"/>
  <c r="I73" i="14"/>
  <c r="I65" i="14"/>
  <c r="I104" i="14"/>
  <c r="I42" i="14"/>
  <c r="J242" i="22" l="1"/>
  <c r="J231" i="22"/>
  <c r="J232" i="22" s="1"/>
  <c r="J230" i="22"/>
  <c r="J228" i="22"/>
  <c r="J226" i="22"/>
  <c r="J223" i="22"/>
  <c r="J224" i="22" s="1"/>
  <c r="J221" i="22"/>
  <c r="J222" i="22" s="1"/>
  <c r="J220" i="22"/>
  <c r="J218" i="22"/>
  <c r="J216" i="22"/>
  <c r="J213" i="22"/>
  <c r="J214" i="22" s="1"/>
  <c r="J211" i="22"/>
  <c r="J212" i="22" s="1"/>
  <c r="L205" i="22"/>
  <c r="K205" i="22"/>
  <c r="J205" i="22"/>
  <c r="L201" i="22"/>
  <c r="K201" i="22"/>
  <c r="J201" i="22"/>
  <c r="L199" i="22"/>
  <c r="K199" i="22"/>
  <c r="J199" i="22"/>
  <c r="J187" i="22"/>
  <c r="L67" i="22"/>
  <c r="M83" i="19" l="1"/>
  <c r="M82" i="19"/>
  <c r="M81" i="19"/>
  <c r="M80" i="19"/>
  <c r="I76" i="19"/>
  <c r="I57" i="19"/>
  <c r="I56" i="19"/>
  <c r="K54" i="19"/>
  <c r="K53" i="19"/>
  <c r="J53" i="19"/>
  <c r="I53" i="19" s="1"/>
  <c r="N27" i="18" l="1"/>
  <c r="M27" i="18" s="1"/>
  <c r="N23" i="18"/>
  <c r="M23" i="18" s="1"/>
  <c r="N19" i="18"/>
  <c r="M19" i="18" s="1"/>
  <c r="N12" i="18"/>
  <c r="M12" i="18" s="1"/>
  <c r="X52" i="10" l="1"/>
  <c r="W52" i="10"/>
  <c r="V52" i="10"/>
  <c r="T52" i="10"/>
  <c r="S52" i="10"/>
  <c r="R52" i="10"/>
  <c r="P52" i="10"/>
  <c r="O52" i="10"/>
  <c r="N52" i="10"/>
  <c r="K52" i="10"/>
  <c r="L52" i="10"/>
  <c r="J52" i="10"/>
  <c r="X41" i="10"/>
  <c r="W41" i="10"/>
  <c r="V41" i="10"/>
  <c r="T41" i="10"/>
  <c r="S41" i="10"/>
  <c r="R41" i="10"/>
  <c r="P41" i="10"/>
  <c r="O41" i="10"/>
  <c r="N41" i="10"/>
  <c r="K41" i="10"/>
  <c r="L41" i="10"/>
  <c r="J41" i="10"/>
  <c r="X92" i="23" l="1"/>
  <c r="W92" i="23"/>
  <c r="V92" i="23"/>
  <c r="T92" i="23"/>
  <c r="S92" i="23"/>
  <c r="R92" i="23"/>
  <c r="P92" i="23"/>
  <c r="O92" i="23"/>
  <c r="N92" i="23"/>
  <c r="L92" i="23"/>
  <c r="X84" i="23"/>
  <c r="W84" i="23"/>
  <c r="V84" i="23"/>
  <c r="U84" i="23"/>
  <c r="T84" i="23"/>
  <c r="S84" i="23"/>
  <c r="R84" i="23"/>
  <c r="Q84" i="23"/>
  <c r="P84" i="23"/>
  <c r="O84" i="23"/>
  <c r="N84" i="23"/>
  <c r="M84" i="23"/>
  <c r="L84" i="23"/>
  <c r="K84" i="23"/>
  <c r="J84" i="23"/>
  <c r="I84" i="23"/>
  <c r="T43" i="16" l="1"/>
  <c r="Q43" i="16" s="1"/>
  <c r="W107" i="19"/>
  <c r="S107" i="19"/>
  <c r="O107" i="19"/>
  <c r="T28" i="16" l="1"/>
  <c r="P28" i="16"/>
  <c r="P34" i="10"/>
  <c r="P294" i="14"/>
  <c r="N34" i="24"/>
  <c r="P20" i="23"/>
  <c r="O20" i="23"/>
  <c r="N20" i="23"/>
  <c r="M20" i="23"/>
  <c r="X287" i="22" l="1"/>
  <c r="W287" i="22"/>
  <c r="V287" i="22"/>
  <c r="T287" i="22"/>
  <c r="S287" i="22"/>
  <c r="R287" i="22"/>
  <c r="P287" i="22"/>
  <c r="O287" i="22"/>
  <c r="N287" i="22"/>
  <c r="K287" i="22"/>
  <c r="J287" i="22"/>
  <c r="X284" i="22"/>
  <c r="W284" i="22"/>
  <c r="V284" i="22"/>
  <c r="T284" i="22"/>
  <c r="S284" i="22"/>
  <c r="R284" i="22"/>
  <c r="O284" i="22"/>
  <c r="N284" i="22"/>
  <c r="K284" i="22"/>
  <c r="X280" i="22"/>
  <c r="W280" i="22"/>
  <c r="V280" i="22"/>
  <c r="T280" i="22"/>
  <c r="T281" i="22" s="1"/>
  <c r="S280" i="22"/>
  <c r="S281" i="22" s="1"/>
  <c r="R280" i="22"/>
  <c r="R281" i="22" s="1"/>
  <c r="P280" i="22"/>
  <c r="O280" i="22"/>
  <c r="O281" i="22" s="1"/>
  <c r="N280" i="22"/>
  <c r="K280" i="22"/>
  <c r="K281" i="22" s="1"/>
  <c r="L280" i="22"/>
  <c r="L281" i="22" s="1"/>
  <c r="J280" i="22"/>
  <c r="J281" i="22" s="1"/>
  <c r="U279" i="22"/>
  <c r="Q279" i="22"/>
  <c r="M279" i="22"/>
  <c r="I279" i="22"/>
  <c r="X281" i="22"/>
  <c r="W281" i="22"/>
  <c r="V281" i="22"/>
  <c r="U278" i="22"/>
  <c r="Q278" i="22"/>
  <c r="M278" i="22"/>
  <c r="I278" i="22"/>
  <c r="X291" i="22"/>
  <c r="W291" i="22"/>
  <c r="V291" i="22"/>
  <c r="T291" i="22"/>
  <c r="S291" i="22"/>
  <c r="R291" i="22"/>
  <c r="P291" i="22"/>
  <c r="O291" i="22"/>
  <c r="N291" i="22"/>
  <c r="K291" i="22"/>
  <c r="L291" i="22"/>
  <c r="J291" i="22"/>
  <c r="X122" i="22"/>
  <c r="W122" i="22"/>
  <c r="V122" i="22"/>
  <c r="T122" i="22"/>
  <c r="S122" i="22"/>
  <c r="R122" i="22"/>
  <c r="P122" i="22"/>
  <c r="O122" i="22"/>
  <c r="N122" i="22"/>
  <c r="K122" i="22"/>
  <c r="J122" i="22"/>
  <c r="U121" i="22"/>
  <c r="Q121" i="22"/>
  <c r="M121" i="22"/>
  <c r="I121" i="22"/>
  <c r="X81" i="22"/>
  <c r="W81" i="22"/>
  <c r="V81" i="22"/>
  <c r="T81" i="22"/>
  <c r="S81" i="22"/>
  <c r="R81" i="22"/>
  <c r="P81" i="22"/>
  <c r="O81" i="22"/>
  <c r="N81" i="22"/>
  <c r="K81" i="22"/>
  <c r="J81" i="22"/>
  <c r="M80" i="22"/>
  <c r="X100" i="23"/>
  <c r="W100" i="23"/>
  <c r="V100" i="23"/>
  <c r="T100" i="23"/>
  <c r="S100" i="23"/>
  <c r="R100" i="23"/>
  <c r="P100" i="23"/>
  <c r="O100" i="23"/>
  <c r="N100" i="23"/>
  <c r="K100" i="23"/>
  <c r="L100" i="23"/>
  <c r="J100" i="23"/>
  <c r="Q280" i="22" l="1"/>
  <c r="M280" i="22"/>
  <c r="Q281" i="22"/>
  <c r="P281" i="22"/>
  <c r="U281" i="22"/>
  <c r="I281" i="22"/>
  <c r="I280" i="22"/>
  <c r="N281" i="22"/>
  <c r="M281" i="22" s="1"/>
  <c r="U280" i="22"/>
  <c r="U105" i="23"/>
  <c r="X104" i="23"/>
  <c r="W104" i="23"/>
  <c r="V104" i="23"/>
  <c r="X103" i="23"/>
  <c r="W103" i="23"/>
  <c r="V103" i="23"/>
  <c r="U103" i="23" s="1"/>
  <c r="X102" i="23"/>
  <c r="W102" i="23"/>
  <c r="V102" i="23"/>
  <c r="U102" i="23" s="1"/>
  <c r="U101" i="23"/>
  <c r="U100" i="23"/>
  <c r="X99" i="23"/>
  <c r="W99" i="23"/>
  <c r="V99" i="23"/>
  <c r="X98" i="23"/>
  <c r="W98" i="23"/>
  <c r="V98" i="23"/>
  <c r="X97" i="23"/>
  <c r="W97" i="23"/>
  <c r="V97" i="23"/>
  <c r="X96" i="23"/>
  <c r="W96" i="23"/>
  <c r="V96" i="23"/>
  <c r="X95" i="23"/>
  <c r="W95" i="23"/>
  <c r="V95" i="23"/>
  <c r="X94" i="23"/>
  <c r="W94" i="23"/>
  <c r="V94" i="23"/>
  <c r="X93" i="23"/>
  <c r="W93" i="23"/>
  <c r="V93" i="23"/>
  <c r="Q105" i="23"/>
  <c r="T104" i="23"/>
  <c r="S104" i="23"/>
  <c r="R104" i="23"/>
  <c r="T103" i="23"/>
  <c r="S103" i="23"/>
  <c r="R103" i="23"/>
  <c r="T102" i="23"/>
  <c r="S102" i="23"/>
  <c r="R102" i="23"/>
  <c r="Q101" i="23"/>
  <c r="Q100" i="23"/>
  <c r="T99" i="23"/>
  <c r="S99" i="23"/>
  <c r="R99" i="23"/>
  <c r="T98" i="23"/>
  <c r="S98" i="23"/>
  <c r="R98" i="23"/>
  <c r="T97" i="23"/>
  <c r="S97" i="23"/>
  <c r="R97" i="23"/>
  <c r="T96" i="23"/>
  <c r="S96" i="23"/>
  <c r="R96" i="23"/>
  <c r="T95" i="23"/>
  <c r="S95" i="23"/>
  <c r="R95" i="23"/>
  <c r="T94" i="23"/>
  <c r="S94" i="23"/>
  <c r="R94" i="23"/>
  <c r="T93" i="23"/>
  <c r="S93" i="23"/>
  <c r="P104" i="23"/>
  <c r="O104" i="23"/>
  <c r="N104" i="23"/>
  <c r="P103" i="23"/>
  <c r="O103" i="23"/>
  <c r="N103" i="23"/>
  <c r="P102" i="23"/>
  <c r="O102" i="23"/>
  <c r="N102" i="23"/>
  <c r="M101" i="23"/>
  <c r="P99" i="23"/>
  <c r="O99" i="23"/>
  <c r="N99" i="23"/>
  <c r="P98" i="23"/>
  <c r="O98" i="23"/>
  <c r="N98" i="23"/>
  <c r="P97" i="23"/>
  <c r="O97" i="23"/>
  <c r="N97" i="23"/>
  <c r="P96" i="23"/>
  <c r="O96" i="23"/>
  <c r="N96" i="23"/>
  <c r="P95" i="23"/>
  <c r="O95" i="23"/>
  <c r="N95" i="23"/>
  <c r="P94" i="23"/>
  <c r="O94" i="23"/>
  <c r="N94" i="23"/>
  <c r="P93" i="23"/>
  <c r="N93" i="23"/>
  <c r="I101" i="23"/>
  <c r="L10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N43" i="23"/>
  <c r="N53" i="23"/>
  <c r="T106" i="23" l="1"/>
  <c r="U97" i="23"/>
  <c r="Q97" i="23"/>
  <c r="Q96" i="23"/>
  <c r="M94" i="23"/>
  <c r="M98" i="23"/>
  <c r="Q94" i="23"/>
  <c r="U95" i="23"/>
  <c r="U104" i="23"/>
  <c r="M93" i="23"/>
  <c r="U92" i="23"/>
  <c r="M103" i="23"/>
  <c r="Q99" i="23"/>
  <c r="U93" i="23"/>
  <c r="M97" i="23"/>
  <c r="U96" i="23"/>
  <c r="Q95" i="23"/>
  <c r="U99" i="23"/>
  <c r="S106" i="23"/>
  <c r="Q98" i="23"/>
  <c r="Q102" i="23"/>
  <c r="W106" i="23"/>
  <c r="P106" i="23"/>
  <c r="M96" i="23"/>
  <c r="M102" i="23"/>
  <c r="Q104" i="23"/>
  <c r="X106" i="23"/>
  <c r="U94" i="23"/>
  <c r="U98" i="23"/>
  <c r="M95" i="23"/>
  <c r="M99" i="23"/>
  <c r="Q103" i="23"/>
  <c r="M105" i="23"/>
  <c r="M100" i="23"/>
  <c r="N106" i="23"/>
  <c r="M104" i="23"/>
  <c r="M92" i="23"/>
  <c r="V106" i="23"/>
  <c r="Q92" i="23"/>
  <c r="N110" i="16"/>
  <c r="N108" i="16"/>
  <c r="N103" i="16"/>
  <c r="N101" i="16"/>
  <c r="N99" i="16"/>
  <c r="N97" i="16"/>
  <c r="N95" i="16"/>
  <c r="N91" i="16"/>
  <c r="N89" i="16"/>
  <c r="M106" i="23" l="1"/>
  <c r="U106" i="23"/>
  <c r="X402" i="24"/>
  <c r="W402" i="24"/>
  <c r="V402" i="24"/>
  <c r="T402" i="24"/>
  <c r="S402" i="24"/>
  <c r="R402" i="24"/>
  <c r="Q402" i="24" s="1"/>
  <c r="P402" i="24"/>
  <c r="O402" i="24"/>
  <c r="N402" i="24"/>
  <c r="L402" i="24"/>
  <c r="K402" i="24"/>
  <c r="J402" i="24"/>
  <c r="I402" i="24" s="1"/>
  <c r="X401" i="24"/>
  <c r="W401" i="24"/>
  <c r="V401" i="24"/>
  <c r="T401" i="24"/>
  <c r="S401" i="24"/>
  <c r="R401" i="24"/>
  <c r="Q401" i="24" s="1"/>
  <c r="P401" i="24"/>
  <c r="O401" i="24"/>
  <c r="N401" i="24"/>
  <c r="M401" i="24" s="1"/>
  <c r="L401" i="24"/>
  <c r="K401" i="24"/>
  <c r="J401" i="24"/>
  <c r="X400" i="24"/>
  <c r="W400" i="24"/>
  <c r="V400" i="24"/>
  <c r="T400" i="24"/>
  <c r="S400" i="24"/>
  <c r="R400" i="24"/>
  <c r="Q400" i="24" s="1"/>
  <c r="P400" i="24"/>
  <c r="O400" i="24"/>
  <c r="N400" i="24"/>
  <c r="L400" i="24"/>
  <c r="K400" i="24"/>
  <c r="J400" i="24"/>
  <c r="P399" i="24"/>
  <c r="O399" i="24"/>
  <c r="N399" i="24"/>
  <c r="X398" i="24"/>
  <c r="W398" i="24"/>
  <c r="V398" i="24"/>
  <c r="U398" i="24" s="1"/>
  <c r="T398" i="24"/>
  <c r="S398" i="24"/>
  <c r="R398" i="24"/>
  <c r="Q398" i="24" s="1"/>
  <c r="P398" i="24"/>
  <c r="O398" i="24"/>
  <c r="N398" i="24"/>
  <c r="L398" i="24"/>
  <c r="K398" i="24"/>
  <c r="J398" i="24"/>
  <c r="X397" i="24"/>
  <c r="W397" i="24"/>
  <c r="V397" i="24"/>
  <c r="U397" i="24" s="1"/>
  <c r="T397" i="24"/>
  <c r="S397" i="24"/>
  <c r="R397" i="24"/>
  <c r="P397" i="24"/>
  <c r="O397" i="24"/>
  <c r="N397" i="24"/>
  <c r="M397" i="24" s="1"/>
  <c r="L397" i="24"/>
  <c r="K397" i="24"/>
  <c r="J397" i="24"/>
  <c r="U396" i="24"/>
  <c r="Q396" i="24"/>
  <c r="M396" i="24"/>
  <c r="K396" i="24"/>
  <c r="J396" i="24"/>
  <c r="I396" i="24" s="1"/>
  <c r="X394" i="24"/>
  <c r="W394" i="24"/>
  <c r="V394" i="24"/>
  <c r="T394" i="24"/>
  <c r="S394" i="24"/>
  <c r="R394" i="24"/>
  <c r="P394" i="24"/>
  <c r="O394" i="24"/>
  <c r="N394" i="24"/>
  <c r="L394" i="24"/>
  <c r="K394" i="24"/>
  <c r="J394" i="24"/>
  <c r="X393" i="24"/>
  <c r="W393" i="24"/>
  <c r="V393" i="24"/>
  <c r="T393" i="24"/>
  <c r="S393" i="24"/>
  <c r="S395" i="24" s="1"/>
  <c r="R393" i="24"/>
  <c r="R395" i="24" s="1"/>
  <c r="P393" i="24"/>
  <c r="O393" i="24"/>
  <c r="N393" i="24"/>
  <c r="L393" i="24"/>
  <c r="K393" i="24"/>
  <c r="J393" i="24"/>
  <c r="X391" i="24"/>
  <c r="W391" i="24"/>
  <c r="V391" i="24"/>
  <c r="T391" i="24"/>
  <c r="S391" i="24"/>
  <c r="R391" i="24"/>
  <c r="P391" i="24"/>
  <c r="O391" i="24"/>
  <c r="N391" i="24"/>
  <c r="M391" i="24" s="1"/>
  <c r="L391" i="24"/>
  <c r="K391" i="24"/>
  <c r="J391" i="24"/>
  <c r="X390" i="24"/>
  <c r="W390" i="24"/>
  <c r="V390" i="24"/>
  <c r="V392" i="24" s="1"/>
  <c r="T390" i="24"/>
  <c r="S390" i="24"/>
  <c r="S392" i="24" s="1"/>
  <c r="R390" i="24"/>
  <c r="P390" i="24"/>
  <c r="O390" i="24"/>
  <c r="N390" i="24"/>
  <c r="L390" i="24"/>
  <c r="K390" i="24"/>
  <c r="K392" i="24" s="1"/>
  <c r="J390" i="24"/>
  <c r="S387" i="24"/>
  <c r="X386" i="24"/>
  <c r="X387" i="24" s="1"/>
  <c r="W386" i="24"/>
  <c r="W387" i="24" s="1"/>
  <c r="V386" i="24"/>
  <c r="V387" i="24" s="1"/>
  <c r="T386" i="24"/>
  <c r="T387" i="24" s="1"/>
  <c r="S386" i="24"/>
  <c r="R386" i="24"/>
  <c r="R387" i="24" s="1"/>
  <c r="P386" i="24"/>
  <c r="P387" i="24" s="1"/>
  <c r="O386" i="24"/>
  <c r="O387" i="24" s="1"/>
  <c r="N386" i="24"/>
  <c r="N387" i="24" s="1"/>
  <c r="L386" i="24"/>
  <c r="L387" i="24" s="1"/>
  <c r="K386" i="24"/>
  <c r="K387" i="24" s="1"/>
  <c r="J386" i="24"/>
  <c r="J387" i="24" s="1"/>
  <c r="X384" i="24"/>
  <c r="W384" i="24"/>
  <c r="V384" i="24"/>
  <c r="T384" i="24"/>
  <c r="S384" i="24"/>
  <c r="R384" i="24"/>
  <c r="P384" i="24"/>
  <c r="O384" i="24"/>
  <c r="N384" i="24"/>
  <c r="L384" i="24"/>
  <c r="K384" i="24"/>
  <c r="J384" i="24"/>
  <c r="X383" i="24"/>
  <c r="W383" i="24"/>
  <c r="V383" i="24"/>
  <c r="T383" i="24"/>
  <c r="S383" i="24"/>
  <c r="R383" i="24"/>
  <c r="P383" i="24"/>
  <c r="O383" i="24"/>
  <c r="N383" i="24"/>
  <c r="L383" i="24"/>
  <c r="K383" i="24"/>
  <c r="J383" i="24"/>
  <c r="X382" i="24"/>
  <c r="W382" i="24"/>
  <c r="V382" i="24"/>
  <c r="T382" i="24"/>
  <c r="S382" i="24"/>
  <c r="S385" i="24" s="1"/>
  <c r="R382" i="24"/>
  <c r="P382" i="24"/>
  <c r="O382" i="24"/>
  <c r="N382" i="24"/>
  <c r="L382" i="24"/>
  <c r="K382" i="24"/>
  <c r="J382" i="24"/>
  <c r="X380" i="24"/>
  <c r="X381" i="24" s="1"/>
  <c r="W380" i="24"/>
  <c r="W381" i="24" s="1"/>
  <c r="V380" i="24"/>
  <c r="T380" i="24"/>
  <c r="T381" i="24" s="1"/>
  <c r="S380" i="24"/>
  <c r="S381" i="24" s="1"/>
  <c r="R380" i="24"/>
  <c r="P380" i="24"/>
  <c r="P381" i="24" s="1"/>
  <c r="O380" i="24"/>
  <c r="O381" i="24" s="1"/>
  <c r="N380" i="24"/>
  <c r="L380" i="24"/>
  <c r="L381" i="24" s="1"/>
  <c r="K380" i="24"/>
  <c r="K381" i="24" s="1"/>
  <c r="J380" i="24"/>
  <c r="U379" i="24"/>
  <c r="Q379" i="24"/>
  <c r="M379" i="24"/>
  <c r="I379" i="24"/>
  <c r="U377" i="24"/>
  <c r="Q377" i="24"/>
  <c r="M377" i="24"/>
  <c r="I377" i="24"/>
  <c r="X376" i="24"/>
  <c r="X378" i="24" s="1"/>
  <c r="W376" i="24"/>
  <c r="W378" i="24" s="1"/>
  <c r="V376" i="24"/>
  <c r="T376" i="24"/>
  <c r="T378" i="24" s="1"/>
  <c r="S376" i="24"/>
  <c r="S378" i="24" s="1"/>
  <c r="R376" i="24"/>
  <c r="P376" i="24"/>
  <c r="P378" i="24" s="1"/>
  <c r="O376" i="24"/>
  <c r="O378" i="24" s="1"/>
  <c r="N376" i="24"/>
  <c r="L376" i="24"/>
  <c r="L378" i="24" s="1"/>
  <c r="K376" i="24"/>
  <c r="K378" i="24" s="1"/>
  <c r="J376" i="24"/>
  <c r="V374" i="24"/>
  <c r="R374" i="24"/>
  <c r="N374" i="24"/>
  <c r="X373" i="24"/>
  <c r="W373" i="24"/>
  <c r="V373" i="24"/>
  <c r="T373" i="24"/>
  <c r="S373" i="24"/>
  <c r="R373" i="24"/>
  <c r="P373" i="24"/>
  <c r="O373" i="24"/>
  <c r="N373" i="24"/>
  <c r="L373" i="24"/>
  <c r="K373" i="24"/>
  <c r="J373" i="24"/>
  <c r="X370" i="24"/>
  <c r="W370" i="24"/>
  <c r="V370" i="24"/>
  <c r="T370" i="24"/>
  <c r="S370" i="24"/>
  <c r="R370" i="24"/>
  <c r="P370" i="24"/>
  <c r="O370" i="24"/>
  <c r="N370" i="24"/>
  <c r="L370" i="24"/>
  <c r="X368" i="24"/>
  <c r="W368" i="24"/>
  <c r="V368" i="24"/>
  <c r="T368" i="24"/>
  <c r="S368" i="24"/>
  <c r="R368" i="24"/>
  <c r="P368" i="24"/>
  <c r="O368" i="24"/>
  <c r="N368" i="24"/>
  <c r="L368" i="24"/>
  <c r="X367" i="24"/>
  <c r="W367" i="24"/>
  <c r="V367" i="24"/>
  <c r="T367" i="24"/>
  <c r="S367" i="24"/>
  <c r="R367" i="24"/>
  <c r="P367" i="24"/>
  <c r="O367" i="24"/>
  <c r="N367" i="24"/>
  <c r="L367" i="24"/>
  <c r="K367" i="24"/>
  <c r="J367" i="24"/>
  <c r="X364" i="24"/>
  <c r="W364" i="24"/>
  <c r="V364" i="24"/>
  <c r="T364" i="24"/>
  <c r="S364" i="24"/>
  <c r="R364" i="24"/>
  <c r="P364" i="24"/>
  <c r="O364" i="24"/>
  <c r="N364" i="24"/>
  <c r="L364" i="24"/>
  <c r="K364" i="24"/>
  <c r="J364" i="24"/>
  <c r="X363" i="24"/>
  <c r="W363" i="24"/>
  <c r="V363" i="24"/>
  <c r="T363" i="24"/>
  <c r="S363" i="24"/>
  <c r="R363" i="24"/>
  <c r="P363" i="24"/>
  <c r="O363" i="24"/>
  <c r="N363" i="24"/>
  <c r="L363" i="24"/>
  <c r="K363" i="24"/>
  <c r="J363" i="24"/>
  <c r="X362" i="24"/>
  <c r="W362" i="24"/>
  <c r="V362" i="24"/>
  <c r="T362" i="24"/>
  <c r="S362" i="24"/>
  <c r="R362" i="24"/>
  <c r="P362" i="24"/>
  <c r="O362" i="24"/>
  <c r="N362" i="24"/>
  <c r="L362" i="24"/>
  <c r="K362" i="24"/>
  <c r="J362" i="24"/>
  <c r="X361" i="24"/>
  <c r="W361" i="24"/>
  <c r="V361" i="24"/>
  <c r="T361" i="24"/>
  <c r="S361" i="24"/>
  <c r="R361" i="24"/>
  <c r="P361" i="24"/>
  <c r="O361" i="24"/>
  <c r="N361" i="24"/>
  <c r="L361" i="24"/>
  <c r="K361" i="24"/>
  <c r="J361" i="24"/>
  <c r="X359" i="24"/>
  <c r="W359" i="24"/>
  <c r="V359" i="24"/>
  <c r="T359" i="24"/>
  <c r="S359" i="24"/>
  <c r="R359" i="24"/>
  <c r="P359" i="24"/>
  <c r="O359" i="24"/>
  <c r="N359" i="24"/>
  <c r="L359" i="24"/>
  <c r="K359" i="24"/>
  <c r="J359" i="24"/>
  <c r="X358" i="24"/>
  <c r="W358" i="24"/>
  <c r="V358" i="24"/>
  <c r="T358" i="24"/>
  <c r="S358" i="24"/>
  <c r="R358" i="24"/>
  <c r="P358" i="24"/>
  <c r="O358" i="24"/>
  <c r="N358" i="24"/>
  <c r="L358" i="24"/>
  <c r="K358" i="24"/>
  <c r="J358" i="24"/>
  <c r="X357" i="24"/>
  <c r="W357" i="24"/>
  <c r="V357" i="24"/>
  <c r="T357" i="24"/>
  <c r="S357" i="24"/>
  <c r="R357" i="24"/>
  <c r="P357" i="24"/>
  <c r="O357" i="24"/>
  <c r="N357" i="24"/>
  <c r="L357" i="24"/>
  <c r="K357" i="24"/>
  <c r="J357" i="24"/>
  <c r="X356" i="24"/>
  <c r="W356" i="24"/>
  <c r="V356" i="24"/>
  <c r="T356" i="24"/>
  <c r="S356" i="24"/>
  <c r="R356" i="24"/>
  <c r="P356" i="24"/>
  <c r="O356" i="24"/>
  <c r="N356" i="24"/>
  <c r="L356" i="24"/>
  <c r="K356" i="24"/>
  <c r="J356" i="24"/>
  <c r="X355" i="24"/>
  <c r="W355" i="24"/>
  <c r="V355" i="24"/>
  <c r="T355" i="24"/>
  <c r="S355" i="24"/>
  <c r="R355" i="24"/>
  <c r="P355" i="24"/>
  <c r="O355" i="24"/>
  <c r="N355" i="24"/>
  <c r="L355" i="24"/>
  <c r="K355" i="24"/>
  <c r="J355" i="24"/>
  <c r="X354" i="24"/>
  <c r="W354" i="24"/>
  <c r="V354" i="24"/>
  <c r="T354" i="24"/>
  <c r="S354" i="24"/>
  <c r="R354" i="24"/>
  <c r="P354" i="24"/>
  <c r="O354" i="24"/>
  <c r="N354" i="24"/>
  <c r="L354" i="24"/>
  <c r="K354" i="24"/>
  <c r="J354" i="24"/>
  <c r="X353" i="24"/>
  <c r="W353" i="24"/>
  <c r="V353" i="24"/>
  <c r="T353" i="24"/>
  <c r="S353" i="24"/>
  <c r="R353" i="24"/>
  <c r="P353" i="24"/>
  <c r="O353" i="24"/>
  <c r="N353" i="24"/>
  <c r="K353" i="24"/>
  <c r="J353" i="24"/>
  <c r="W352" i="24"/>
  <c r="V352" i="24"/>
  <c r="S352" i="24"/>
  <c r="R352" i="24"/>
  <c r="O352" i="24"/>
  <c r="O365" i="24" s="1"/>
  <c r="L352" i="24"/>
  <c r="K352" i="24"/>
  <c r="J352" i="24"/>
  <c r="U349" i="24"/>
  <c r="Q349" i="24"/>
  <c r="P349" i="24"/>
  <c r="O349" i="24"/>
  <c r="N349" i="24"/>
  <c r="K349" i="24"/>
  <c r="J349" i="24"/>
  <c r="X348" i="24"/>
  <c r="W348" i="24"/>
  <c r="V348" i="24"/>
  <c r="T348" i="24"/>
  <c r="S348" i="24"/>
  <c r="R348" i="24"/>
  <c r="P348" i="24"/>
  <c r="O348" i="24"/>
  <c r="L348" i="24"/>
  <c r="K348" i="24"/>
  <c r="J348" i="24"/>
  <c r="I348" i="24" s="1"/>
  <c r="X347" i="24"/>
  <c r="W347" i="24"/>
  <c r="V347" i="24"/>
  <c r="T347" i="24"/>
  <c r="S347" i="24"/>
  <c r="R347" i="24"/>
  <c r="P347" i="24"/>
  <c r="O347" i="24"/>
  <c r="N347" i="24"/>
  <c r="I347" i="24"/>
  <c r="U346" i="24"/>
  <c r="Q346" i="24"/>
  <c r="P346" i="24"/>
  <c r="O346" i="24"/>
  <c r="N346" i="24"/>
  <c r="L346" i="24"/>
  <c r="K346" i="24"/>
  <c r="J346" i="24"/>
  <c r="X345" i="24"/>
  <c r="W345" i="24"/>
  <c r="V345" i="24"/>
  <c r="T345" i="24"/>
  <c r="S345" i="24"/>
  <c r="R345" i="24"/>
  <c r="P345" i="24"/>
  <c r="O345" i="24"/>
  <c r="N345" i="24"/>
  <c r="L345" i="24"/>
  <c r="K345" i="24"/>
  <c r="J345" i="24"/>
  <c r="X344" i="24"/>
  <c r="W344" i="24"/>
  <c r="V344" i="24"/>
  <c r="T344" i="24"/>
  <c r="S344" i="24"/>
  <c r="R344" i="24"/>
  <c r="P344" i="24"/>
  <c r="O344" i="24"/>
  <c r="N344" i="24"/>
  <c r="X343" i="24"/>
  <c r="W343" i="24"/>
  <c r="V343" i="24"/>
  <c r="T343" i="24"/>
  <c r="S343" i="24"/>
  <c r="R343" i="24"/>
  <c r="P343" i="24"/>
  <c r="O343" i="24"/>
  <c r="N343" i="24"/>
  <c r="L343" i="24"/>
  <c r="K343" i="24"/>
  <c r="J343" i="24"/>
  <c r="X342" i="24"/>
  <c r="W342" i="24"/>
  <c r="V342" i="24"/>
  <c r="T342" i="24"/>
  <c r="S342" i="24"/>
  <c r="R342" i="24"/>
  <c r="P342" i="24"/>
  <c r="O342" i="24"/>
  <c r="N342" i="24"/>
  <c r="L342" i="24"/>
  <c r="K342" i="24"/>
  <c r="J342" i="24"/>
  <c r="X341" i="24"/>
  <c r="W341" i="24"/>
  <c r="V341" i="24"/>
  <c r="T341" i="24"/>
  <c r="S341" i="24"/>
  <c r="R341" i="24"/>
  <c r="P341" i="24"/>
  <c r="O341" i="24"/>
  <c r="N341" i="24"/>
  <c r="L341" i="24"/>
  <c r="K341" i="24"/>
  <c r="J341" i="24"/>
  <c r="X340" i="24"/>
  <c r="W340" i="24"/>
  <c r="V340" i="24"/>
  <c r="T340" i="24"/>
  <c r="S340" i="24"/>
  <c r="R340" i="24"/>
  <c r="P340" i="24"/>
  <c r="O340" i="24"/>
  <c r="N340" i="24"/>
  <c r="L340" i="24"/>
  <c r="K340" i="24"/>
  <c r="J340" i="24"/>
  <c r="X339" i="24"/>
  <c r="W339" i="24"/>
  <c r="V339" i="24"/>
  <c r="T339" i="24"/>
  <c r="S339" i="24"/>
  <c r="R339" i="24"/>
  <c r="P339" i="24"/>
  <c r="O339" i="24"/>
  <c r="N339" i="24"/>
  <c r="L339" i="24"/>
  <c r="K339" i="24"/>
  <c r="J339" i="24"/>
  <c r="X337" i="24"/>
  <c r="W337" i="24"/>
  <c r="V337" i="24"/>
  <c r="T337" i="24"/>
  <c r="S337" i="24"/>
  <c r="R337" i="24"/>
  <c r="P337" i="24"/>
  <c r="O337" i="24"/>
  <c r="N337" i="24"/>
  <c r="L337" i="24"/>
  <c r="K337" i="24"/>
  <c r="J337" i="24"/>
  <c r="P331" i="24"/>
  <c r="X330" i="24"/>
  <c r="W330" i="24"/>
  <c r="V330" i="24"/>
  <c r="U330" i="24" s="1"/>
  <c r="T330" i="24"/>
  <c r="Q330" i="24" s="1"/>
  <c r="S330" i="24"/>
  <c r="R330" i="24"/>
  <c r="O330" i="24"/>
  <c r="N330" i="24"/>
  <c r="L330" i="24"/>
  <c r="K330" i="24"/>
  <c r="J330" i="24"/>
  <c r="X329" i="24"/>
  <c r="X331" i="24" s="1"/>
  <c r="W329" i="24"/>
  <c r="V329" i="24"/>
  <c r="T329" i="24"/>
  <c r="S329" i="24"/>
  <c r="R329" i="24"/>
  <c r="O329" i="24"/>
  <c r="N329" i="24"/>
  <c r="M329" i="24" s="1"/>
  <c r="L329" i="24"/>
  <c r="K329" i="24"/>
  <c r="J329" i="24"/>
  <c r="U328" i="24"/>
  <c r="U329" i="24" s="1"/>
  <c r="Q328" i="24"/>
  <c r="Q329" i="24" s="1"/>
  <c r="P328" i="24"/>
  <c r="I328" i="24"/>
  <c r="I329" i="24" s="1"/>
  <c r="X327" i="24"/>
  <c r="W327" i="24"/>
  <c r="V327" i="24"/>
  <c r="V372" i="24" s="1"/>
  <c r="T327" i="24"/>
  <c r="S327" i="24"/>
  <c r="R327" i="24"/>
  <c r="R372" i="24" s="1"/>
  <c r="O327" i="24"/>
  <c r="N327" i="24"/>
  <c r="L327" i="24"/>
  <c r="K327" i="24"/>
  <c r="J327" i="24"/>
  <c r="U326" i="24"/>
  <c r="U327" i="24" s="1"/>
  <c r="Q326" i="24"/>
  <c r="Q327" i="24" s="1"/>
  <c r="P326" i="24"/>
  <c r="M326" i="24" s="1"/>
  <c r="I326" i="24"/>
  <c r="I327" i="24" s="1"/>
  <c r="V325" i="24"/>
  <c r="R325" i="24"/>
  <c r="N325" i="24"/>
  <c r="X324" i="24"/>
  <c r="W324" i="24"/>
  <c r="T324" i="24"/>
  <c r="S324" i="24"/>
  <c r="P324" i="24"/>
  <c r="O324" i="24"/>
  <c r="L324" i="24"/>
  <c r="K324" i="24"/>
  <c r="J324" i="24"/>
  <c r="X323" i="24"/>
  <c r="X325" i="24" s="1"/>
  <c r="W323" i="24"/>
  <c r="W325" i="24" s="1"/>
  <c r="T323" i="24"/>
  <c r="S323" i="24"/>
  <c r="S325" i="24" s="1"/>
  <c r="P323" i="24"/>
  <c r="O323" i="24"/>
  <c r="O325" i="24" s="1"/>
  <c r="L323" i="24"/>
  <c r="L325" i="24" s="1"/>
  <c r="K323" i="24"/>
  <c r="K325" i="24" s="1"/>
  <c r="J323" i="24"/>
  <c r="J325" i="24" s="1"/>
  <c r="V322" i="24"/>
  <c r="V324" i="24" s="1"/>
  <c r="R322" i="24"/>
  <c r="Q322" i="24" s="1"/>
  <c r="N322" i="24"/>
  <c r="I322" i="24"/>
  <c r="I323" i="24" s="1"/>
  <c r="V321" i="24"/>
  <c r="R321" i="24"/>
  <c r="N321" i="24"/>
  <c r="X320" i="24"/>
  <c r="W320" i="24"/>
  <c r="T320" i="24"/>
  <c r="S320" i="24"/>
  <c r="P320" i="24"/>
  <c r="O320" i="24"/>
  <c r="L320" i="24"/>
  <c r="K320" i="24"/>
  <c r="J320" i="24"/>
  <c r="X319" i="24"/>
  <c r="X321" i="24" s="1"/>
  <c r="W319" i="24"/>
  <c r="W374" i="24" s="1"/>
  <c r="T319" i="24"/>
  <c r="S319" i="24"/>
  <c r="S321" i="24" s="1"/>
  <c r="P319" i="24"/>
  <c r="O319" i="24"/>
  <c r="L319" i="24"/>
  <c r="L374" i="24" s="1"/>
  <c r="K319" i="24"/>
  <c r="J319" i="24"/>
  <c r="J374" i="24" s="1"/>
  <c r="V318" i="24"/>
  <c r="U318" i="24" s="1"/>
  <c r="R318" i="24"/>
  <c r="Q318" i="24" s="1"/>
  <c r="N318" i="24"/>
  <c r="I318" i="24"/>
  <c r="I319" i="24" s="1"/>
  <c r="V317" i="24"/>
  <c r="R317" i="24"/>
  <c r="N317" i="24"/>
  <c r="X316" i="24"/>
  <c r="W316" i="24"/>
  <c r="T316" i="24"/>
  <c r="S316" i="24"/>
  <c r="P316" i="24"/>
  <c r="O316" i="24"/>
  <c r="L316" i="24"/>
  <c r="K316" i="24"/>
  <c r="J316" i="24"/>
  <c r="X315" i="24"/>
  <c r="W315" i="24"/>
  <c r="T315" i="24"/>
  <c r="S315" i="24"/>
  <c r="P315" i="24"/>
  <c r="O315" i="24"/>
  <c r="L315" i="24"/>
  <c r="K315" i="24"/>
  <c r="J315" i="24"/>
  <c r="V314" i="24"/>
  <c r="R314" i="24"/>
  <c r="N314" i="24"/>
  <c r="I314" i="24"/>
  <c r="I315" i="24" s="1"/>
  <c r="X313" i="24"/>
  <c r="X372" i="24" s="1"/>
  <c r="W313" i="24"/>
  <c r="T313" i="24"/>
  <c r="S313" i="24"/>
  <c r="P313" i="24"/>
  <c r="P372" i="24" s="1"/>
  <c r="O313" i="24"/>
  <c r="O372" i="24" s="1"/>
  <c r="L313" i="24"/>
  <c r="L372" i="24" s="1"/>
  <c r="K313" i="24"/>
  <c r="K372" i="24" s="1"/>
  <c r="J313" i="24"/>
  <c r="V312" i="24"/>
  <c r="U312" i="24" s="1"/>
  <c r="R312" i="24"/>
  <c r="Q312" i="24" s="1"/>
  <c r="N312" i="24"/>
  <c r="M312" i="24" s="1"/>
  <c r="I312" i="24"/>
  <c r="I313" i="24" s="1"/>
  <c r="X309" i="24"/>
  <c r="W309" i="24"/>
  <c r="V309" i="24"/>
  <c r="T309" i="24"/>
  <c r="S309" i="24"/>
  <c r="R309" i="24"/>
  <c r="P309" i="24"/>
  <c r="O309" i="24"/>
  <c r="N309" i="24"/>
  <c r="L309" i="24"/>
  <c r="K309" i="24"/>
  <c r="J309" i="24"/>
  <c r="U308" i="24"/>
  <c r="Q308" i="24"/>
  <c r="M308" i="24"/>
  <c r="I308" i="24"/>
  <c r="X307" i="24"/>
  <c r="X310" i="24" s="1"/>
  <c r="W307" i="24"/>
  <c r="W310" i="24" s="1"/>
  <c r="V307" i="24"/>
  <c r="V310" i="24" s="1"/>
  <c r="T307" i="24"/>
  <c r="T310" i="24" s="1"/>
  <c r="S307" i="24"/>
  <c r="S310" i="24" s="1"/>
  <c r="R307" i="24"/>
  <c r="R310" i="24" s="1"/>
  <c r="P307" i="24"/>
  <c r="P310" i="24" s="1"/>
  <c r="O307" i="24"/>
  <c r="O310" i="24" s="1"/>
  <c r="N307" i="24"/>
  <c r="L307" i="24"/>
  <c r="L310" i="24" s="1"/>
  <c r="K307" i="24"/>
  <c r="K310" i="24" s="1"/>
  <c r="J307" i="24"/>
  <c r="U306" i="24"/>
  <c r="Q306" i="24"/>
  <c r="M306" i="24"/>
  <c r="I306" i="24"/>
  <c r="U305" i="24"/>
  <c r="Q305" i="24"/>
  <c r="M305" i="24"/>
  <c r="I305" i="24"/>
  <c r="X302" i="24"/>
  <c r="W302" i="24"/>
  <c r="V302" i="24"/>
  <c r="T302" i="24"/>
  <c r="S302" i="24"/>
  <c r="R302" i="24"/>
  <c r="P302" i="24"/>
  <c r="O302" i="24"/>
  <c r="N302" i="24"/>
  <c r="L302" i="24"/>
  <c r="K302" i="24"/>
  <c r="J302" i="24"/>
  <c r="U301" i="24"/>
  <c r="Q301" i="24"/>
  <c r="M301" i="24"/>
  <c r="I301" i="24"/>
  <c r="X300" i="24"/>
  <c r="W300" i="24"/>
  <c r="V300" i="24"/>
  <c r="T300" i="24"/>
  <c r="S300" i="24"/>
  <c r="R300" i="24"/>
  <c r="P300" i="24"/>
  <c r="O300" i="24"/>
  <c r="N300" i="24"/>
  <c r="L300" i="24"/>
  <c r="K300" i="24"/>
  <c r="J300" i="24"/>
  <c r="U299" i="24"/>
  <c r="Q299" i="24"/>
  <c r="M299" i="24"/>
  <c r="I299" i="24"/>
  <c r="X298" i="24"/>
  <c r="W298" i="24"/>
  <c r="V298" i="24"/>
  <c r="T298" i="24"/>
  <c r="S298" i="24"/>
  <c r="R298" i="24"/>
  <c r="P298" i="24"/>
  <c r="O298" i="24"/>
  <c r="N298" i="24"/>
  <c r="L298" i="24"/>
  <c r="K298" i="24"/>
  <c r="J298" i="24"/>
  <c r="M297" i="24"/>
  <c r="I297" i="24"/>
  <c r="M296" i="24"/>
  <c r="I296" i="24"/>
  <c r="U295" i="24"/>
  <c r="Q295" i="24"/>
  <c r="M295" i="24"/>
  <c r="I295" i="24"/>
  <c r="X294" i="24"/>
  <c r="W294" i="24"/>
  <c r="V294" i="24"/>
  <c r="U294" i="24" s="1"/>
  <c r="T294" i="24"/>
  <c r="S294" i="24"/>
  <c r="R294" i="24"/>
  <c r="P294" i="24"/>
  <c r="O294" i="24"/>
  <c r="N294" i="24"/>
  <c r="L294" i="24"/>
  <c r="K294" i="24"/>
  <c r="J294" i="24"/>
  <c r="U293" i="24"/>
  <c r="Q293" i="24"/>
  <c r="M293" i="24"/>
  <c r="I293" i="24"/>
  <c r="X292" i="24"/>
  <c r="W292" i="24"/>
  <c r="V292" i="24"/>
  <c r="U292" i="24" s="1"/>
  <c r="T292" i="24"/>
  <c r="S292" i="24"/>
  <c r="R292" i="24"/>
  <c r="P292" i="24"/>
  <c r="O292" i="24"/>
  <c r="N292" i="24"/>
  <c r="L292" i="24"/>
  <c r="K292" i="24"/>
  <c r="J292" i="24"/>
  <c r="U291" i="24"/>
  <c r="Q291" i="24"/>
  <c r="M291" i="24"/>
  <c r="I291" i="24"/>
  <c r="X290" i="24"/>
  <c r="W290" i="24"/>
  <c r="V290" i="24"/>
  <c r="U290" i="24" s="1"/>
  <c r="T290" i="24"/>
  <c r="S290" i="24"/>
  <c r="R290" i="24"/>
  <c r="P290" i="24"/>
  <c r="O290" i="24"/>
  <c r="N290" i="24"/>
  <c r="L290" i="24"/>
  <c r="K290" i="24"/>
  <c r="J290" i="24"/>
  <c r="U289" i="24"/>
  <c r="M289" i="24"/>
  <c r="I289" i="24"/>
  <c r="U288" i="24"/>
  <c r="Q288" i="24"/>
  <c r="M288" i="24"/>
  <c r="I288" i="24"/>
  <c r="X287" i="24"/>
  <c r="W287" i="24"/>
  <c r="V287" i="24"/>
  <c r="T287" i="24"/>
  <c r="S287" i="24"/>
  <c r="R287" i="24"/>
  <c r="P287" i="24"/>
  <c r="O287" i="24"/>
  <c r="L287" i="24"/>
  <c r="K287" i="24"/>
  <c r="J287" i="24"/>
  <c r="U286" i="24"/>
  <c r="Q286" i="24"/>
  <c r="M286" i="24"/>
  <c r="I286" i="24"/>
  <c r="U285" i="24"/>
  <c r="Q285" i="24"/>
  <c r="M285" i="24"/>
  <c r="I285" i="24"/>
  <c r="U284" i="24"/>
  <c r="Q284" i="24"/>
  <c r="N284" i="24"/>
  <c r="N352" i="24" s="1"/>
  <c r="N365" i="24" s="1"/>
  <c r="I284" i="24"/>
  <c r="X283" i="24"/>
  <c r="W283" i="24"/>
  <c r="V283" i="24"/>
  <c r="T283" i="24"/>
  <c r="S283" i="24"/>
  <c r="R283" i="24"/>
  <c r="P283" i="24"/>
  <c r="O283" i="24"/>
  <c r="N283" i="24"/>
  <c r="M283" i="24" s="1"/>
  <c r="L283" i="24"/>
  <c r="K283" i="24"/>
  <c r="J283" i="24"/>
  <c r="U282" i="24"/>
  <c r="Q282" i="24"/>
  <c r="M282" i="24"/>
  <c r="I282" i="24"/>
  <c r="X281" i="24"/>
  <c r="W281" i="24"/>
  <c r="V281" i="24"/>
  <c r="T281" i="24"/>
  <c r="S281" i="24"/>
  <c r="R281" i="24"/>
  <c r="P281" i="24"/>
  <c r="O281" i="24"/>
  <c r="N281" i="24"/>
  <c r="M281" i="24" s="1"/>
  <c r="L281" i="24"/>
  <c r="K281" i="24"/>
  <c r="J281" i="24"/>
  <c r="U280" i="24"/>
  <c r="M280" i="24"/>
  <c r="I280" i="24"/>
  <c r="U279" i="24"/>
  <c r="Q279" i="24"/>
  <c r="M279" i="24"/>
  <c r="I279" i="24"/>
  <c r="X276" i="24"/>
  <c r="W276" i="24"/>
  <c r="V276" i="24"/>
  <c r="T276" i="24"/>
  <c r="S276" i="24"/>
  <c r="R276" i="24"/>
  <c r="P276" i="24"/>
  <c r="O276" i="24"/>
  <c r="N276" i="24"/>
  <c r="L276" i="24"/>
  <c r="K276" i="24"/>
  <c r="J276" i="24"/>
  <c r="I276" i="24" s="1"/>
  <c r="U275" i="24"/>
  <c r="Q275" i="24"/>
  <c r="M275" i="24"/>
  <c r="I275" i="24"/>
  <c r="X274" i="24"/>
  <c r="W274" i="24"/>
  <c r="V274" i="24"/>
  <c r="T274" i="24"/>
  <c r="S274" i="24"/>
  <c r="R274" i="24"/>
  <c r="P274" i="24"/>
  <c r="O274" i="24"/>
  <c r="N274" i="24"/>
  <c r="L274" i="24"/>
  <c r="K274" i="24"/>
  <c r="J274" i="24"/>
  <c r="I274" i="24" s="1"/>
  <c r="U273" i="24"/>
  <c r="Q273" i="24"/>
  <c r="M273" i="24"/>
  <c r="I273" i="24"/>
  <c r="X272" i="24"/>
  <c r="W272" i="24"/>
  <c r="V272" i="24"/>
  <c r="T272" i="24"/>
  <c r="S272" i="24"/>
  <c r="R272" i="24"/>
  <c r="P272" i="24"/>
  <c r="O272" i="24"/>
  <c r="N272" i="24"/>
  <c r="L272" i="24"/>
  <c r="K272" i="24"/>
  <c r="J272" i="24"/>
  <c r="I272" i="24" s="1"/>
  <c r="U271" i="24"/>
  <c r="Q271" i="24"/>
  <c r="M271" i="24"/>
  <c r="I271" i="24"/>
  <c r="X270" i="24"/>
  <c r="X277" i="24" s="1"/>
  <c r="W270" i="24"/>
  <c r="W277" i="24" s="1"/>
  <c r="V270" i="24"/>
  <c r="T270" i="24"/>
  <c r="T277" i="24" s="1"/>
  <c r="S270" i="24"/>
  <c r="S277" i="24" s="1"/>
  <c r="R270" i="24"/>
  <c r="R277" i="24" s="1"/>
  <c r="P270" i="24"/>
  <c r="P277" i="24" s="1"/>
  <c r="O270" i="24"/>
  <c r="N270" i="24"/>
  <c r="L270" i="24"/>
  <c r="L277" i="24" s="1"/>
  <c r="K270" i="24"/>
  <c r="K277" i="24" s="1"/>
  <c r="J270" i="24"/>
  <c r="J277" i="24" s="1"/>
  <c r="U269" i="24"/>
  <c r="Q269" i="24"/>
  <c r="M269" i="24"/>
  <c r="I269" i="24"/>
  <c r="U268" i="24"/>
  <c r="Q268" i="24"/>
  <c r="M268" i="24"/>
  <c r="I268" i="24"/>
  <c r="X263" i="24"/>
  <c r="W263" i="24"/>
  <c r="V263" i="24"/>
  <c r="T263" i="24"/>
  <c r="S263" i="24"/>
  <c r="R263" i="24"/>
  <c r="P263" i="24"/>
  <c r="O263" i="24"/>
  <c r="L263" i="24"/>
  <c r="K263" i="24"/>
  <c r="J263" i="24"/>
  <c r="U262" i="24"/>
  <c r="Q262" i="24"/>
  <c r="M262" i="24"/>
  <c r="I262" i="24"/>
  <c r="U261" i="24"/>
  <c r="Q261" i="24"/>
  <c r="M261" i="24"/>
  <c r="I261" i="24"/>
  <c r="U260" i="24"/>
  <c r="Q260" i="24"/>
  <c r="M260" i="24"/>
  <c r="I260" i="24"/>
  <c r="U259" i="24"/>
  <c r="Q259" i="24"/>
  <c r="M259" i="24"/>
  <c r="I259" i="24"/>
  <c r="U258" i="24"/>
  <c r="Q258" i="24"/>
  <c r="M258" i="24"/>
  <c r="I258" i="24"/>
  <c r="U257" i="24"/>
  <c r="Q257" i="24"/>
  <c r="M257" i="24"/>
  <c r="I257" i="24"/>
  <c r="U256" i="24"/>
  <c r="Q256" i="24"/>
  <c r="M256" i="24"/>
  <c r="I256" i="24"/>
  <c r="U255" i="24"/>
  <c r="Q255" i="24"/>
  <c r="M255" i="24"/>
  <c r="I255" i="24"/>
  <c r="U254" i="24"/>
  <c r="Q254" i="24"/>
  <c r="M254" i="24"/>
  <c r="I254" i="24"/>
  <c r="U253" i="24"/>
  <c r="Q253" i="24"/>
  <c r="M253" i="24"/>
  <c r="I253" i="24"/>
  <c r="U252" i="24"/>
  <c r="Q252" i="24"/>
  <c r="M252" i="24"/>
  <c r="I252" i="24"/>
  <c r="U251" i="24"/>
  <c r="Q251" i="24"/>
  <c r="N251" i="24"/>
  <c r="N348" i="24" s="1"/>
  <c r="I251" i="24"/>
  <c r="U250" i="24"/>
  <c r="Q250" i="24"/>
  <c r="M250" i="24"/>
  <c r="I250" i="24"/>
  <c r="X249" i="24"/>
  <c r="W249" i="24"/>
  <c r="V249" i="24"/>
  <c r="U249" i="24" s="1"/>
  <c r="T249" i="24"/>
  <c r="S249" i="24"/>
  <c r="R249" i="24"/>
  <c r="P249" i="24"/>
  <c r="O249" i="24"/>
  <c r="N249" i="24"/>
  <c r="M249" i="24" s="1"/>
  <c r="L249" i="24"/>
  <c r="L264" i="24" s="1"/>
  <c r="K249" i="24"/>
  <c r="K264" i="24" s="1"/>
  <c r="J249" i="24"/>
  <c r="U248" i="24"/>
  <c r="Q248" i="24"/>
  <c r="M248" i="24"/>
  <c r="I248" i="24"/>
  <c r="X245" i="24"/>
  <c r="W245" i="24"/>
  <c r="V245" i="24"/>
  <c r="T245" i="24"/>
  <c r="S245" i="24"/>
  <c r="R245" i="24"/>
  <c r="P245" i="24"/>
  <c r="O245" i="24"/>
  <c r="N245" i="24"/>
  <c r="M245" i="24" s="1"/>
  <c r="L245" i="24"/>
  <c r="K245" i="24"/>
  <c r="J245" i="24"/>
  <c r="U244" i="24"/>
  <c r="Q244" i="24"/>
  <c r="M244" i="24"/>
  <c r="I244" i="24"/>
  <c r="X243" i="24"/>
  <c r="W243" i="24"/>
  <c r="V243" i="24"/>
  <c r="T243" i="24"/>
  <c r="S243" i="24"/>
  <c r="R243" i="24"/>
  <c r="P243" i="24"/>
  <c r="O243" i="24"/>
  <c r="N243" i="24"/>
  <c r="M243" i="24" s="1"/>
  <c r="L243" i="24"/>
  <c r="K243" i="24"/>
  <c r="J243" i="24"/>
  <c r="U242" i="24"/>
  <c r="Q242" i="24"/>
  <c r="M242" i="24"/>
  <c r="I242" i="24"/>
  <c r="X241" i="24"/>
  <c r="X246" i="24" s="1"/>
  <c r="W241" i="24"/>
  <c r="W246" i="24" s="1"/>
  <c r="V241" i="24"/>
  <c r="T241" i="24"/>
  <c r="T246" i="24" s="1"/>
  <c r="S241" i="24"/>
  <c r="S246" i="24" s="1"/>
  <c r="R241" i="24"/>
  <c r="P241" i="24"/>
  <c r="P246" i="24" s="1"/>
  <c r="O241" i="24"/>
  <c r="O246" i="24" s="1"/>
  <c r="N241" i="24"/>
  <c r="L241" i="24"/>
  <c r="L246" i="24" s="1"/>
  <c r="L265" i="24" s="1"/>
  <c r="K241" i="24"/>
  <c r="K246" i="24" s="1"/>
  <c r="K265" i="24" s="1"/>
  <c r="J241" i="24"/>
  <c r="U240" i="24"/>
  <c r="Q240" i="24"/>
  <c r="M240" i="24"/>
  <c r="I240" i="24"/>
  <c r="U239" i="24"/>
  <c r="Q239" i="24"/>
  <c r="M239" i="24"/>
  <c r="I239" i="24"/>
  <c r="X234" i="24"/>
  <c r="W234" i="24"/>
  <c r="V234" i="24"/>
  <c r="T234" i="24"/>
  <c r="S234" i="24"/>
  <c r="R234" i="24"/>
  <c r="P234" i="24"/>
  <c r="O234" i="24"/>
  <c r="N234" i="24"/>
  <c r="L234" i="24"/>
  <c r="K234" i="24"/>
  <c r="J234" i="24"/>
  <c r="U233" i="24"/>
  <c r="Q233" i="24"/>
  <c r="M233" i="24"/>
  <c r="I233" i="24"/>
  <c r="U232" i="24"/>
  <c r="Q232" i="24"/>
  <c r="M232" i="24"/>
  <c r="I232" i="24"/>
  <c r="U231" i="24"/>
  <c r="Q231" i="24"/>
  <c r="M231" i="24"/>
  <c r="I231" i="24"/>
  <c r="X230" i="24"/>
  <c r="X235" i="24" s="1"/>
  <c r="W230" i="24"/>
  <c r="W235" i="24" s="1"/>
  <c r="V230" i="24"/>
  <c r="T230" i="24"/>
  <c r="T235" i="24" s="1"/>
  <c r="S230" i="24"/>
  <c r="S235" i="24" s="1"/>
  <c r="R230" i="24"/>
  <c r="P230" i="24"/>
  <c r="P235" i="24" s="1"/>
  <c r="O230" i="24"/>
  <c r="O235" i="24" s="1"/>
  <c r="N230" i="24"/>
  <c r="L230" i="24"/>
  <c r="L235" i="24" s="1"/>
  <c r="K230" i="24"/>
  <c r="K235" i="24" s="1"/>
  <c r="J230" i="24"/>
  <c r="U229" i="24"/>
  <c r="Q229" i="24"/>
  <c r="M229" i="24"/>
  <c r="I229" i="24"/>
  <c r="U228" i="24"/>
  <c r="Q228" i="24"/>
  <c r="M228" i="24"/>
  <c r="I228" i="24"/>
  <c r="X225" i="24"/>
  <c r="X226" i="24" s="1"/>
  <c r="W225" i="24"/>
  <c r="W226" i="24" s="1"/>
  <c r="V225" i="24"/>
  <c r="T225" i="24"/>
  <c r="T226" i="24" s="1"/>
  <c r="S225" i="24"/>
  <c r="S226" i="24" s="1"/>
  <c r="R225" i="24"/>
  <c r="R226" i="24" s="1"/>
  <c r="P225" i="24"/>
  <c r="P226" i="24" s="1"/>
  <c r="O225" i="24"/>
  <c r="O226" i="24" s="1"/>
  <c r="N225" i="24"/>
  <c r="L225" i="24"/>
  <c r="L226" i="24" s="1"/>
  <c r="K225" i="24"/>
  <c r="K226" i="24" s="1"/>
  <c r="J225" i="24"/>
  <c r="U224" i="24"/>
  <c r="Q224" i="24"/>
  <c r="M224" i="24"/>
  <c r="I224" i="24"/>
  <c r="W219" i="24"/>
  <c r="V219" i="24"/>
  <c r="U219" i="24" s="1"/>
  <c r="S219" i="24"/>
  <c r="R219" i="24"/>
  <c r="Q219" i="24" s="1"/>
  <c r="O219" i="24"/>
  <c r="N219" i="24"/>
  <c r="M219" i="24" s="1"/>
  <c r="L219" i="24"/>
  <c r="K219" i="24"/>
  <c r="U218" i="24"/>
  <c r="Q218" i="24"/>
  <c r="M218" i="24"/>
  <c r="J218" i="24"/>
  <c r="J219" i="24" s="1"/>
  <c r="I219" i="24" s="1"/>
  <c r="W217" i="24"/>
  <c r="V217" i="24"/>
  <c r="U217" i="24" s="1"/>
  <c r="S217" i="24"/>
  <c r="R217" i="24"/>
  <c r="Q217" i="24" s="1"/>
  <c r="O217" i="24"/>
  <c r="N217" i="24"/>
  <c r="M217" i="24" s="1"/>
  <c r="L217" i="24"/>
  <c r="K217" i="24"/>
  <c r="J217" i="24"/>
  <c r="I217" i="24" s="1"/>
  <c r="U216" i="24"/>
  <c r="Q216" i="24"/>
  <c r="M216" i="24"/>
  <c r="I216" i="24"/>
  <c r="W215" i="24"/>
  <c r="V215" i="24"/>
  <c r="U215" i="24" s="1"/>
  <c r="S215" i="24"/>
  <c r="R215" i="24"/>
  <c r="Q215" i="24" s="1"/>
  <c r="O215" i="24"/>
  <c r="N215" i="24"/>
  <c r="M215" i="24" s="1"/>
  <c r="K215" i="24"/>
  <c r="J215" i="24"/>
  <c r="I215" i="24" s="1"/>
  <c r="U214" i="24"/>
  <c r="Q214" i="24"/>
  <c r="M214" i="24"/>
  <c r="I214" i="24"/>
  <c r="X212" i="24"/>
  <c r="X336" i="24" s="1"/>
  <c r="W212" i="24"/>
  <c r="W336" i="24" s="1"/>
  <c r="V212" i="24"/>
  <c r="V336" i="24" s="1"/>
  <c r="U336" i="24" s="1"/>
  <c r="T212" i="24"/>
  <c r="T336" i="24" s="1"/>
  <c r="S212" i="24"/>
  <c r="R212" i="24"/>
  <c r="R336" i="24" s="1"/>
  <c r="Q336" i="24" s="1"/>
  <c r="P212" i="24"/>
  <c r="O212" i="24"/>
  <c r="O336" i="24" s="1"/>
  <c r="N212" i="24"/>
  <c r="N336" i="24" s="1"/>
  <c r="L212" i="24"/>
  <c r="L336" i="24" s="1"/>
  <c r="K212" i="24"/>
  <c r="K366" i="24" s="1"/>
  <c r="J212" i="24"/>
  <c r="J366" i="24" s="1"/>
  <c r="X211" i="24"/>
  <c r="W211" i="24"/>
  <c r="V211" i="24"/>
  <c r="T211" i="24"/>
  <c r="S211" i="24"/>
  <c r="R211" i="24"/>
  <c r="P211" i="24"/>
  <c r="O211" i="24"/>
  <c r="N211" i="24"/>
  <c r="L211" i="24"/>
  <c r="K211" i="24"/>
  <c r="J211" i="24"/>
  <c r="U210" i="24"/>
  <c r="Q210" i="24"/>
  <c r="M210" i="24"/>
  <c r="I210" i="24"/>
  <c r="U209" i="24"/>
  <c r="Q209" i="24"/>
  <c r="M209" i="24"/>
  <c r="I209" i="24"/>
  <c r="U208" i="24"/>
  <c r="Q208" i="24"/>
  <c r="M208" i="24"/>
  <c r="I208" i="24"/>
  <c r="U207" i="24"/>
  <c r="Q207" i="24"/>
  <c r="M207" i="24"/>
  <c r="I207" i="24"/>
  <c r="U206" i="24"/>
  <c r="Q206" i="24"/>
  <c r="M206" i="24"/>
  <c r="I206" i="24"/>
  <c r="U205" i="24"/>
  <c r="Q205" i="24"/>
  <c r="M205" i="24"/>
  <c r="I205" i="24"/>
  <c r="U204" i="24"/>
  <c r="Q204" i="24"/>
  <c r="M204" i="24"/>
  <c r="I204" i="24"/>
  <c r="I203" i="24"/>
  <c r="U202" i="24"/>
  <c r="Q202" i="24"/>
  <c r="M202" i="24"/>
  <c r="I202" i="24"/>
  <c r="U201" i="24"/>
  <c r="Q201" i="24"/>
  <c r="M201" i="24"/>
  <c r="I201" i="24"/>
  <c r="U200" i="24"/>
  <c r="Q200" i="24"/>
  <c r="M200" i="24"/>
  <c r="I200" i="24"/>
  <c r="U199" i="24"/>
  <c r="Q199" i="24"/>
  <c r="M199" i="24"/>
  <c r="I199" i="24"/>
  <c r="U198" i="24"/>
  <c r="Q198" i="24"/>
  <c r="M198" i="24"/>
  <c r="I198" i="24"/>
  <c r="X197" i="24"/>
  <c r="W197" i="24"/>
  <c r="V197" i="24"/>
  <c r="T197" i="24"/>
  <c r="S197" i="24"/>
  <c r="R197" i="24"/>
  <c r="P197" i="24"/>
  <c r="O197" i="24"/>
  <c r="N197" i="24"/>
  <c r="L197" i="24"/>
  <c r="K197" i="24"/>
  <c r="J197" i="24"/>
  <c r="U196" i="24"/>
  <c r="Q196" i="24"/>
  <c r="M196" i="24"/>
  <c r="I196" i="24"/>
  <c r="X194" i="24"/>
  <c r="X360" i="24" s="1"/>
  <c r="W194" i="24"/>
  <c r="W360" i="24" s="1"/>
  <c r="V194" i="24"/>
  <c r="T194" i="24"/>
  <c r="T360" i="24" s="1"/>
  <c r="S194" i="24"/>
  <c r="S360" i="24" s="1"/>
  <c r="R194" i="24"/>
  <c r="P194" i="24"/>
  <c r="P360" i="24" s="1"/>
  <c r="O194" i="24"/>
  <c r="O360" i="24" s="1"/>
  <c r="N194" i="24"/>
  <c r="L194" i="24"/>
  <c r="L360" i="24" s="1"/>
  <c r="K194" i="24"/>
  <c r="K360" i="24" s="1"/>
  <c r="J194" i="24"/>
  <c r="X193" i="24"/>
  <c r="W193" i="24"/>
  <c r="V193" i="24"/>
  <c r="T193" i="24"/>
  <c r="S193" i="24"/>
  <c r="R193" i="24"/>
  <c r="P193" i="24"/>
  <c r="P388" i="24" s="1"/>
  <c r="P389" i="24" s="1"/>
  <c r="O193" i="24"/>
  <c r="N193" i="24"/>
  <c r="N195" i="24" s="1"/>
  <c r="L193" i="24"/>
  <c r="J193" i="24"/>
  <c r="U192" i="24"/>
  <c r="Q192" i="24"/>
  <c r="M192" i="24"/>
  <c r="I192" i="24"/>
  <c r="U191" i="24"/>
  <c r="Q191" i="24"/>
  <c r="M191" i="24"/>
  <c r="I191" i="24"/>
  <c r="U190" i="24"/>
  <c r="Q190" i="24"/>
  <c r="M190" i="24"/>
  <c r="I190" i="24"/>
  <c r="U189" i="24"/>
  <c r="Q189" i="24"/>
  <c r="M189" i="24"/>
  <c r="I189" i="24"/>
  <c r="U188" i="24"/>
  <c r="Q188" i="24"/>
  <c r="M188" i="24"/>
  <c r="I188" i="24"/>
  <c r="U187" i="24"/>
  <c r="Q187" i="24"/>
  <c r="M187" i="24"/>
  <c r="I187" i="24"/>
  <c r="U186" i="24"/>
  <c r="Q186" i="24"/>
  <c r="M186" i="24"/>
  <c r="I186" i="24"/>
  <c r="U185" i="24"/>
  <c r="Q185" i="24"/>
  <c r="M185" i="24"/>
  <c r="I185" i="24"/>
  <c r="U184" i="24"/>
  <c r="Q184" i="24"/>
  <c r="M184" i="24"/>
  <c r="I184" i="24"/>
  <c r="U183" i="24"/>
  <c r="Q183" i="24"/>
  <c r="M183" i="24"/>
  <c r="K183" i="24"/>
  <c r="K193" i="24" s="1"/>
  <c r="I183" i="24"/>
  <c r="U182" i="24"/>
  <c r="Q182" i="24"/>
  <c r="M182" i="24"/>
  <c r="I182" i="24"/>
  <c r="U181" i="24"/>
  <c r="Q181" i="24"/>
  <c r="M181" i="24"/>
  <c r="I181" i="24"/>
  <c r="U180" i="24"/>
  <c r="Q180" i="24"/>
  <c r="M180" i="24"/>
  <c r="I180" i="24"/>
  <c r="U179" i="24"/>
  <c r="Q179" i="24"/>
  <c r="M179" i="24"/>
  <c r="I179" i="24"/>
  <c r="U178" i="24"/>
  <c r="Q178" i="24"/>
  <c r="M178" i="24"/>
  <c r="I178" i="24"/>
  <c r="U177" i="24"/>
  <c r="Q177" i="24"/>
  <c r="M177" i="24"/>
  <c r="I177" i="24"/>
  <c r="U176" i="24"/>
  <c r="Q176" i="24"/>
  <c r="M176" i="24"/>
  <c r="I176" i="24"/>
  <c r="U175" i="24"/>
  <c r="Q175" i="24"/>
  <c r="M175" i="24"/>
  <c r="I175" i="24"/>
  <c r="U174" i="24"/>
  <c r="Q174" i="24"/>
  <c r="M174" i="24"/>
  <c r="I174" i="24"/>
  <c r="U173" i="24"/>
  <c r="Q173" i="24"/>
  <c r="M173" i="24"/>
  <c r="I173" i="24"/>
  <c r="U172" i="24"/>
  <c r="Q172" i="24"/>
  <c r="M172" i="24"/>
  <c r="I172" i="24"/>
  <c r="U171" i="24"/>
  <c r="Q171" i="24"/>
  <c r="M171" i="24"/>
  <c r="I171" i="24"/>
  <c r="X170" i="24"/>
  <c r="W170" i="24"/>
  <c r="V170" i="24"/>
  <c r="T170" i="24"/>
  <c r="S170" i="24"/>
  <c r="R170" i="24"/>
  <c r="P170" i="24"/>
  <c r="O170" i="24"/>
  <c r="N170" i="24"/>
  <c r="L170" i="24"/>
  <c r="U169" i="24"/>
  <c r="Q169" i="24"/>
  <c r="M169" i="24"/>
  <c r="I169" i="24"/>
  <c r="U168" i="24"/>
  <c r="Q168" i="24"/>
  <c r="M168" i="24"/>
  <c r="K168" i="24"/>
  <c r="K370" i="24" s="1"/>
  <c r="J168" i="24"/>
  <c r="U167" i="24"/>
  <c r="Q167" i="24"/>
  <c r="M167" i="24"/>
  <c r="I167" i="24"/>
  <c r="U166" i="24"/>
  <c r="Q166" i="24"/>
  <c r="M166" i="24"/>
  <c r="U165" i="24"/>
  <c r="Q165" i="24"/>
  <c r="M165" i="24"/>
  <c r="J165" i="24"/>
  <c r="U164" i="24"/>
  <c r="Q164" i="24"/>
  <c r="M164" i="24"/>
  <c r="I164" i="24"/>
  <c r="U163" i="24"/>
  <c r="Q163" i="24"/>
  <c r="M163" i="24"/>
  <c r="I163" i="24"/>
  <c r="X162" i="24"/>
  <c r="W162" i="24"/>
  <c r="V162" i="24"/>
  <c r="T162" i="24"/>
  <c r="S162" i="24"/>
  <c r="R162" i="24"/>
  <c r="P162" i="24"/>
  <c r="O162" i="24"/>
  <c r="N162" i="24"/>
  <c r="U161" i="24"/>
  <c r="Q161" i="24"/>
  <c r="M161" i="24"/>
  <c r="I161" i="24"/>
  <c r="U160" i="24"/>
  <c r="Q160" i="24"/>
  <c r="M160" i="24"/>
  <c r="K160" i="24"/>
  <c r="J160" i="24"/>
  <c r="U159" i="24"/>
  <c r="U353" i="24" s="1"/>
  <c r="Q159" i="24"/>
  <c r="Q353" i="24" s="1"/>
  <c r="M159" i="24"/>
  <c r="M353" i="24" s="1"/>
  <c r="L159" i="24"/>
  <c r="I159" i="24" s="1"/>
  <c r="X158" i="24"/>
  <c r="X369" i="24" s="1"/>
  <c r="W158" i="24"/>
  <c r="W369" i="24" s="1"/>
  <c r="V158" i="24"/>
  <c r="V369" i="24" s="1"/>
  <c r="T158" i="24"/>
  <c r="T369" i="24" s="1"/>
  <c r="S158" i="24"/>
  <c r="S369" i="24" s="1"/>
  <c r="R158" i="24"/>
  <c r="R369" i="24" s="1"/>
  <c r="P158" i="24"/>
  <c r="P369" i="24" s="1"/>
  <c r="O158" i="24"/>
  <c r="O369" i="24" s="1"/>
  <c r="N158" i="24"/>
  <c r="N369" i="24" s="1"/>
  <c r="L158" i="24"/>
  <c r="L369" i="24" s="1"/>
  <c r="K158" i="24"/>
  <c r="K369" i="24" s="1"/>
  <c r="J158" i="24"/>
  <c r="J369" i="24" s="1"/>
  <c r="U157" i="24"/>
  <c r="Q157" i="24"/>
  <c r="M157" i="24"/>
  <c r="I157" i="24"/>
  <c r="U156" i="24"/>
  <c r="Q156" i="24"/>
  <c r="M156" i="24"/>
  <c r="I156" i="24"/>
  <c r="U155" i="24"/>
  <c r="Q155" i="24"/>
  <c r="M155" i="24"/>
  <c r="I155" i="24"/>
  <c r="U154" i="24"/>
  <c r="Q154" i="24"/>
  <c r="M154" i="24"/>
  <c r="I154" i="24"/>
  <c r="U153" i="24"/>
  <c r="Q153" i="24"/>
  <c r="M153" i="24"/>
  <c r="I153" i="24"/>
  <c r="U152" i="24"/>
  <c r="Q152" i="24"/>
  <c r="M152" i="24"/>
  <c r="I152" i="24"/>
  <c r="U151" i="24"/>
  <c r="Q151" i="24"/>
  <c r="M151" i="24"/>
  <c r="I151" i="24"/>
  <c r="U150" i="24"/>
  <c r="Q150" i="24"/>
  <c r="M150" i="24"/>
  <c r="I150" i="24"/>
  <c r="U149" i="24"/>
  <c r="Q149" i="24"/>
  <c r="M149" i="24"/>
  <c r="I149" i="24"/>
  <c r="U148" i="24"/>
  <c r="Q148" i="24"/>
  <c r="M148" i="24"/>
  <c r="I148" i="24"/>
  <c r="U147" i="24"/>
  <c r="Q147" i="24"/>
  <c r="M147" i="24"/>
  <c r="I147" i="24"/>
  <c r="X146" i="24"/>
  <c r="W146" i="24"/>
  <c r="V146" i="24"/>
  <c r="T146" i="24"/>
  <c r="S146" i="24"/>
  <c r="R146" i="24"/>
  <c r="P146" i="24"/>
  <c r="O146" i="24"/>
  <c r="N146" i="24"/>
  <c r="L146" i="24"/>
  <c r="K146" i="24"/>
  <c r="J146" i="24"/>
  <c r="U145" i="24"/>
  <c r="Q145" i="24"/>
  <c r="M145" i="24"/>
  <c r="I145" i="24"/>
  <c r="U144" i="24"/>
  <c r="Q144" i="24"/>
  <c r="M144" i="24"/>
  <c r="I144" i="24"/>
  <c r="X143" i="24"/>
  <c r="W143" i="24"/>
  <c r="V143" i="24"/>
  <c r="T143" i="24"/>
  <c r="S143" i="24"/>
  <c r="R143" i="24"/>
  <c r="P143" i="24"/>
  <c r="O143" i="24"/>
  <c r="N143" i="24"/>
  <c r="L143" i="24"/>
  <c r="K143" i="24"/>
  <c r="J143" i="24"/>
  <c r="U142" i="24"/>
  <c r="Q142" i="24"/>
  <c r="M142" i="24"/>
  <c r="I142" i="24"/>
  <c r="U141" i="24"/>
  <c r="Q141" i="24"/>
  <c r="M141" i="24"/>
  <c r="I141" i="24"/>
  <c r="X140" i="24"/>
  <c r="W140" i="24"/>
  <c r="V140" i="24"/>
  <c r="T140" i="24"/>
  <c r="S140" i="24"/>
  <c r="R140" i="24"/>
  <c r="P140" i="24"/>
  <c r="O140" i="24"/>
  <c r="N140" i="24"/>
  <c r="L140" i="24"/>
  <c r="K140" i="24"/>
  <c r="J140" i="24"/>
  <c r="U139" i="24"/>
  <c r="Q139" i="24"/>
  <c r="M139" i="24"/>
  <c r="I139" i="24"/>
  <c r="X138" i="24"/>
  <c r="W138" i="24"/>
  <c r="V138" i="24"/>
  <c r="T138" i="24"/>
  <c r="S138" i="24"/>
  <c r="R138" i="24"/>
  <c r="P138" i="24"/>
  <c r="O138" i="24"/>
  <c r="N138" i="24"/>
  <c r="L138" i="24"/>
  <c r="K138" i="24"/>
  <c r="J138" i="24"/>
  <c r="U137" i="24"/>
  <c r="Q137" i="24"/>
  <c r="M137" i="24"/>
  <c r="I137" i="24"/>
  <c r="X136" i="24"/>
  <c r="W136" i="24"/>
  <c r="V136" i="24"/>
  <c r="T136" i="24"/>
  <c r="S136" i="24"/>
  <c r="R136" i="24"/>
  <c r="P136" i="24"/>
  <c r="O136" i="24"/>
  <c r="N136" i="24"/>
  <c r="L136" i="24"/>
  <c r="K136" i="24"/>
  <c r="J136" i="24"/>
  <c r="U135" i="24"/>
  <c r="Q135" i="24"/>
  <c r="M135" i="24"/>
  <c r="I135" i="24"/>
  <c r="U134" i="24"/>
  <c r="Q134" i="24"/>
  <c r="M134" i="24"/>
  <c r="I134" i="24"/>
  <c r="X133" i="24"/>
  <c r="W133" i="24"/>
  <c r="V133" i="24"/>
  <c r="T133" i="24"/>
  <c r="S133" i="24"/>
  <c r="R133" i="24"/>
  <c r="P133" i="24"/>
  <c r="O133" i="24"/>
  <c r="N133" i="24"/>
  <c r="L133" i="24"/>
  <c r="K133" i="24"/>
  <c r="J133" i="24"/>
  <c r="U132" i="24"/>
  <c r="Q132" i="24"/>
  <c r="M132" i="24"/>
  <c r="I132" i="24"/>
  <c r="U131" i="24"/>
  <c r="Q131" i="24"/>
  <c r="M131" i="24"/>
  <c r="I131" i="24"/>
  <c r="W130" i="24"/>
  <c r="V130" i="24"/>
  <c r="U130" i="24" s="1"/>
  <c r="S130" i="24"/>
  <c r="R130" i="24"/>
  <c r="Q130" i="24" s="1"/>
  <c r="O130" i="24"/>
  <c r="N130" i="24"/>
  <c r="M130" i="24" s="1"/>
  <c r="L130" i="24"/>
  <c r="K130" i="24"/>
  <c r="J130" i="24"/>
  <c r="U129" i="24"/>
  <c r="Q129" i="24"/>
  <c r="M129" i="24"/>
  <c r="I129" i="24"/>
  <c r="U128" i="24"/>
  <c r="Q128" i="24"/>
  <c r="M128" i="24"/>
  <c r="I128" i="24"/>
  <c r="X127" i="24"/>
  <c r="W127" i="24"/>
  <c r="V127" i="24"/>
  <c r="T127" i="24"/>
  <c r="S127" i="24"/>
  <c r="R127" i="24"/>
  <c r="P127" i="24"/>
  <c r="O127" i="24"/>
  <c r="N127" i="24"/>
  <c r="L127" i="24"/>
  <c r="K127" i="24"/>
  <c r="J127" i="24"/>
  <c r="U126" i="24"/>
  <c r="Q126" i="24"/>
  <c r="M126" i="24"/>
  <c r="I126" i="24"/>
  <c r="U125" i="24"/>
  <c r="Q125" i="24"/>
  <c r="M125" i="24"/>
  <c r="I125" i="24"/>
  <c r="X124" i="24"/>
  <c r="W124" i="24"/>
  <c r="V124" i="24"/>
  <c r="T124" i="24"/>
  <c r="S124" i="24"/>
  <c r="R124" i="24"/>
  <c r="P124" i="24"/>
  <c r="O124" i="24"/>
  <c r="N124" i="24"/>
  <c r="L124" i="24"/>
  <c r="K124" i="24"/>
  <c r="J124" i="24"/>
  <c r="U123" i="24"/>
  <c r="Q123" i="24"/>
  <c r="M123" i="24"/>
  <c r="I123" i="24"/>
  <c r="X120" i="24"/>
  <c r="W120" i="24"/>
  <c r="V120" i="24"/>
  <c r="T120" i="24"/>
  <c r="S120" i="24"/>
  <c r="R120" i="24"/>
  <c r="P120" i="24"/>
  <c r="O120" i="24"/>
  <c r="N120" i="24"/>
  <c r="M120" i="24" s="1"/>
  <c r="L120" i="24"/>
  <c r="K120" i="24"/>
  <c r="J120" i="24"/>
  <c r="U119" i="24"/>
  <c r="Q119" i="24"/>
  <c r="M119" i="24"/>
  <c r="I119" i="24"/>
  <c r="U118" i="24"/>
  <c r="Q118" i="24"/>
  <c r="M118" i="24"/>
  <c r="I118" i="24"/>
  <c r="U117" i="24"/>
  <c r="Q117" i="24"/>
  <c r="M117" i="24"/>
  <c r="I117" i="24"/>
  <c r="U116" i="24"/>
  <c r="Q116" i="24"/>
  <c r="M116" i="24"/>
  <c r="I116" i="24"/>
  <c r="U115" i="24"/>
  <c r="Q115" i="24"/>
  <c r="M115" i="24"/>
  <c r="I115" i="24"/>
  <c r="U114" i="24"/>
  <c r="Q114" i="24"/>
  <c r="M114" i="24"/>
  <c r="I114" i="24"/>
  <c r="U113" i="24"/>
  <c r="Q113" i="24"/>
  <c r="M113" i="24"/>
  <c r="I113" i="24"/>
  <c r="U112" i="24"/>
  <c r="Q112" i="24"/>
  <c r="M112" i="24"/>
  <c r="I112" i="24"/>
  <c r="U111" i="24"/>
  <c r="Q111" i="24"/>
  <c r="M111" i="24"/>
  <c r="I111" i="24"/>
  <c r="U110" i="24"/>
  <c r="Q110" i="24"/>
  <c r="M110" i="24"/>
  <c r="I110" i="24"/>
  <c r="U109" i="24"/>
  <c r="Q109" i="24"/>
  <c r="M109" i="24"/>
  <c r="I109" i="24"/>
  <c r="U108" i="24"/>
  <c r="Q108" i="24"/>
  <c r="M108" i="24"/>
  <c r="I108" i="24"/>
  <c r="U107" i="24"/>
  <c r="Q107" i="24"/>
  <c r="M107" i="24"/>
  <c r="I107" i="24"/>
  <c r="U106" i="24"/>
  <c r="Q106" i="24"/>
  <c r="M106" i="24"/>
  <c r="I106" i="24"/>
  <c r="U105" i="24"/>
  <c r="Q105" i="24"/>
  <c r="M105" i="24"/>
  <c r="I105" i="24"/>
  <c r="U104" i="24"/>
  <c r="Q104" i="24"/>
  <c r="M104" i="24"/>
  <c r="U103" i="24"/>
  <c r="Q103" i="24"/>
  <c r="M103" i="24"/>
  <c r="I103" i="24"/>
  <c r="U102" i="24"/>
  <c r="Q102" i="24"/>
  <c r="M102" i="24"/>
  <c r="I102" i="24"/>
  <c r="U101" i="24"/>
  <c r="Q101" i="24"/>
  <c r="M101" i="24"/>
  <c r="I101" i="24"/>
  <c r="U100" i="24"/>
  <c r="Q100" i="24"/>
  <c r="M100" i="24"/>
  <c r="I100" i="24"/>
  <c r="U99" i="24"/>
  <c r="Q99" i="24"/>
  <c r="M99" i="24"/>
  <c r="I99" i="24"/>
  <c r="U98" i="24"/>
  <c r="Q98" i="24"/>
  <c r="M98" i="24"/>
  <c r="I98" i="24"/>
  <c r="U97" i="24"/>
  <c r="Q97" i="24"/>
  <c r="M97" i="24"/>
  <c r="I97" i="24"/>
  <c r="U96" i="24"/>
  <c r="Q96" i="24"/>
  <c r="M96" i="24"/>
  <c r="I96" i="24"/>
  <c r="U95" i="24"/>
  <c r="Q95" i="24"/>
  <c r="M95" i="24"/>
  <c r="I95" i="24"/>
  <c r="U94" i="24"/>
  <c r="Q94" i="24"/>
  <c r="M94" i="24"/>
  <c r="I94" i="24"/>
  <c r="U93" i="24"/>
  <c r="Q93" i="24"/>
  <c r="M93" i="24"/>
  <c r="I93" i="24"/>
  <c r="U92" i="24"/>
  <c r="Q92" i="24"/>
  <c r="M92" i="24"/>
  <c r="I92" i="24"/>
  <c r="U91" i="24"/>
  <c r="Q91" i="24"/>
  <c r="M91" i="24"/>
  <c r="I91" i="24"/>
  <c r="U90" i="24"/>
  <c r="Q90" i="24"/>
  <c r="M90" i="24"/>
  <c r="I90" i="24"/>
  <c r="U89" i="24"/>
  <c r="Q89" i="24"/>
  <c r="M89" i="24"/>
  <c r="I89" i="24"/>
  <c r="U88" i="24"/>
  <c r="Q88" i="24"/>
  <c r="M88" i="24"/>
  <c r="I88" i="24"/>
  <c r="U87" i="24"/>
  <c r="Q87" i="24"/>
  <c r="M87" i="24"/>
  <c r="I87" i="24"/>
  <c r="U86" i="24"/>
  <c r="Q86" i="24"/>
  <c r="M86" i="24"/>
  <c r="I86" i="24"/>
  <c r="U85" i="24"/>
  <c r="Q85" i="24"/>
  <c r="M85" i="24"/>
  <c r="I85" i="24"/>
  <c r="U84" i="24"/>
  <c r="Q84" i="24"/>
  <c r="M84" i="24"/>
  <c r="I84" i="24"/>
  <c r="U83" i="24"/>
  <c r="Q83" i="24"/>
  <c r="M83" i="24"/>
  <c r="I83" i="24"/>
  <c r="U82" i="24"/>
  <c r="Q82" i="24"/>
  <c r="M82" i="24"/>
  <c r="I82" i="24"/>
  <c r="U81" i="24"/>
  <c r="Q81" i="24"/>
  <c r="M81" i="24"/>
  <c r="I81" i="24"/>
  <c r="M80" i="24"/>
  <c r="U79" i="24"/>
  <c r="Q79" i="24"/>
  <c r="M79" i="24"/>
  <c r="I79" i="24"/>
  <c r="X78" i="24"/>
  <c r="U78" i="24" s="1"/>
  <c r="W78" i="24"/>
  <c r="V78" i="24"/>
  <c r="T78" i="24"/>
  <c r="S78" i="24"/>
  <c r="R78" i="24"/>
  <c r="P78" i="24"/>
  <c r="O78" i="24"/>
  <c r="N78" i="24"/>
  <c r="L78" i="24"/>
  <c r="L344" i="24" s="1"/>
  <c r="K78" i="24"/>
  <c r="K344" i="24" s="1"/>
  <c r="J78" i="24"/>
  <c r="J344" i="24" s="1"/>
  <c r="U77" i="24"/>
  <c r="Q77" i="24"/>
  <c r="M77" i="24"/>
  <c r="I77" i="24"/>
  <c r="X76" i="24"/>
  <c r="W76" i="24"/>
  <c r="V76" i="24"/>
  <c r="T76" i="24"/>
  <c r="S76" i="24"/>
  <c r="R76" i="24"/>
  <c r="P76" i="24"/>
  <c r="O76" i="24"/>
  <c r="N76" i="24"/>
  <c r="L76" i="24"/>
  <c r="K76" i="24"/>
  <c r="J76" i="24"/>
  <c r="I76" i="24" s="1"/>
  <c r="U75" i="24"/>
  <c r="Q75" i="24"/>
  <c r="M75" i="24"/>
  <c r="I75" i="24"/>
  <c r="X74" i="24"/>
  <c r="W74" i="24"/>
  <c r="V74" i="24"/>
  <c r="T74" i="24"/>
  <c r="S74" i="24"/>
  <c r="R74" i="24"/>
  <c r="P74" i="24"/>
  <c r="O74" i="24"/>
  <c r="N74" i="24"/>
  <c r="L74" i="24"/>
  <c r="K74" i="24"/>
  <c r="J74" i="24"/>
  <c r="U73" i="24"/>
  <c r="Q73" i="24"/>
  <c r="M73" i="24"/>
  <c r="I73" i="24"/>
  <c r="X72" i="24"/>
  <c r="W72" i="24"/>
  <c r="V72" i="24"/>
  <c r="T72" i="24"/>
  <c r="S72" i="24"/>
  <c r="R72" i="24"/>
  <c r="P72" i="24"/>
  <c r="O72" i="24"/>
  <c r="N72" i="24"/>
  <c r="L72" i="24"/>
  <c r="K72" i="24"/>
  <c r="J72" i="24"/>
  <c r="I72" i="24" s="1"/>
  <c r="U71" i="24"/>
  <c r="Q71" i="24"/>
  <c r="M71" i="24"/>
  <c r="I71" i="24"/>
  <c r="U70" i="24"/>
  <c r="Q70" i="24"/>
  <c r="M70" i="24"/>
  <c r="I70" i="24"/>
  <c r="X69" i="24"/>
  <c r="W69" i="24"/>
  <c r="V69" i="24"/>
  <c r="T69" i="24"/>
  <c r="S69" i="24"/>
  <c r="R69" i="24"/>
  <c r="P69" i="24"/>
  <c r="O69" i="24"/>
  <c r="N69" i="24"/>
  <c r="L69" i="24"/>
  <c r="K69" i="24"/>
  <c r="J69" i="24"/>
  <c r="U68" i="24"/>
  <c r="Q68" i="24"/>
  <c r="M68" i="24"/>
  <c r="I68" i="24"/>
  <c r="X67" i="24"/>
  <c r="W67" i="24"/>
  <c r="V67" i="24"/>
  <c r="T67" i="24"/>
  <c r="S67" i="24"/>
  <c r="R67" i="24"/>
  <c r="P67" i="24"/>
  <c r="O67" i="24"/>
  <c r="N67" i="24"/>
  <c r="L67" i="24"/>
  <c r="K67" i="24"/>
  <c r="J67" i="24"/>
  <c r="Q66" i="24"/>
  <c r="M66" i="24"/>
  <c r="I66" i="24"/>
  <c r="X65" i="24"/>
  <c r="W65" i="24"/>
  <c r="V65" i="24"/>
  <c r="T65" i="24"/>
  <c r="S65" i="24"/>
  <c r="R65" i="24"/>
  <c r="P65" i="24"/>
  <c r="O65" i="24"/>
  <c r="N65" i="24"/>
  <c r="L65" i="24"/>
  <c r="K65" i="24"/>
  <c r="J65" i="24"/>
  <c r="U64" i="24"/>
  <c r="U65" i="24" s="1"/>
  <c r="Q64" i="24"/>
  <c r="Q65" i="24" s="1"/>
  <c r="M64" i="24"/>
  <c r="M65" i="24" s="1"/>
  <c r="I64" i="24"/>
  <c r="X63" i="24"/>
  <c r="W63" i="24"/>
  <c r="V63" i="24"/>
  <c r="T63" i="24"/>
  <c r="S63" i="24"/>
  <c r="R63" i="24"/>
  <c r="P63" i="24"/>
  <c r="O63" i="24"/>
  <c r="N63" i="24"/>
  <c r="L63" i="24"/>
  <c r="K63" i="24"/>
  <c r="J63" i="24"/>
  <c r="U62" i="24"/>
  <c r="Q62" i="24"/>
  <c r="M62" i="24"/>
  <c r="I62" i="24"/>
  <c r="U61" i="24"/>
  <c r="Q61" i="24"/>
  <c r="M61" i="24"/>
  <c r="I61" i="24"/>
  <c r="X60" i="24"/>
  <c r="W60" i="24"/>
  <c r="V60" i="24"/>
  <c r="T60" i="24"/>
  <c r="S60" i="24"/>
  <c r="R60" i="24"/>
  <c r="P60" i="24"/>
  <c r="O60" i="24"/>
  <c r="N60" i="24"/>
  <c r="L60" i="24"/>
  <c r="K60" i="24"/>
  <c r="J60" i="24"/>
  <c r="U59" i="24"/>
  <c r="Q59" i="24"/>
  <c r="M59" i="24"/>
  <c r="I59" i="24"/>
  <c r="U58" i="24"/>
  <c r="Q58" i="24"/>
  <c r="M58" i="24"/>
  <c r="I58" i="24"/>
  <c r="X57" i="24"/>
  <c r="W57" i="24"/>
  <c r="V57" i="24"/>
  <c r="T57" i="24"/>
  <c r="S57" i="24"/>
  <c r="R57" i="24"/>
  <c r="P57" i="24"/>
  <c r="O57" i="24"/>
  <c r="N57" i="24"/>
  <c r="L57" i="24"/>
  <c r="K57" i="24"/>
  <c r="J57" i="24"/>
  <c r="U56" i="24"/>
  <c r="U57" i="24" s="1"/>
  <c r="Q56" i="24"/>
  <c r="Q57" i="24" s="1"/>
  <c r="M56" i="24"/>
  <c r="M57" i="24" s="1"/>
  <c r="I56" i="24"/>
  <c r="X55" i="24"/>
  <c r="W55" i="24"/>
  <c r="V55" i="24"/>
  <c r="T55" i="24"/>
  <c r="S55" i="24"/>
  <c r="R55" i="24"/>
  <c r="P55" i="24"/>
  <c r="O55" i="24"/>
  <c r="N55" i="24"/>
  <c r="L55" i="24"/>
  <c r="K55" i="24"/>
  <c r="J55" i="24"/>
  <c r="U54" i="24"/>
  <c r="Q54" i="24"/>
  <c r="M54" i="24"/>
  <c r="I54" i="24"/>
  <c r="U53" i="24"/>
  <c r="Q53" i="24"/>
  <c r="M53" i="24"/>
  <c r="I53" i="24"/>
  <c r="X52" i="24"/>
  <c r="W52" i="24"/>
  <c r="V52" i="24"/>
  <c r="T52" i="24"/>
  <c r="S52" i="24"/>
  <c r="R52" i="24"/>
  <c r="P52" i="24"/>
  <c r="O52" i="24"/>
  <c r="N52" i="24"/>
  <c r="L52" i="24"/>
  <c r="K52" i="24"/>
  <c r="J52" i="24"/>
  <c r="U51" i="24"/>
  <c r="Q51" i="24"/>
  <c r="M51" i="24"/>
  <c r="I51" i="24"/>
  <c r="U50" i="24"/>
  <c r="Q50" i="24"/>
  <c r="M50" i="24"/>
  <c r="I50" i="24"/>
  <c r="X49" i="24"/>
  <c r="W49" i="24"/>
  <c r="V49" i="24"/>
  <c r="T49" i="24"/>
  <c r="S49" i="24"/>
  <c r="R49" i="24"/>
  <c r="P49" i="24"/>
  <c r="O49" i="24"/>
  <c r="N49" i="24"/>
  <c r="L49" i="24"/>
  <c r="K49" i="24"/>
  <c r="J49" i="24"/>
  <c r="U48" i="24"/>
  <c r="Q48" i="24"/>
  <c r="M48" i="24"/>
  <c r="I48" i="24"/>
  <c r="X47" i="24"/>
  <c r="W47" i="24"/>
  <c r="V47" i="24"/>
  <c r="T47" i="24"/>
  <c r="S47" i="24"/>
  <c r="R47" i="24"/>
  <c r="P47" i="24"/>
  <c r="O47" i="24"/>
  <c r="N47" i="24"/>
  <c r="L47" i="24"/>
  <c r="K47" i="24"/>
  <c r="J47" i="24"/>
  <c r="U46" i="24"/>
  <c r="U47" i="24" s="1"/>
  <c r="Q46" i="24"/>
  <c r="Q47" i="24" s="1"/>
  <c r="M46" i="24"/>
  <c r="M47" i="24" s="1"/>
  <c r="I46" i="24"/>
  <c r="X45" i="24"/>
  <c r="W45" i="24"/>
  <c r="V45" i="24"/>
  <c r="T45" i="24"/>
  <c r="S45" i="24"/>
  <c r="R45" i="24"/>
  <c r="P45" i="24"/>
  <c r="O45" i="24"/>
  <c r="N45" i="24"/>
  <c r="L45" i="24"/>
  <c r="K45" i="24"/>
  <c r="J45" i="24"/>
  <c r="U44" i="24"/>
  <c r="U45" i="24" s="1"/>
  <c r="Q44" i="24"/>
  <c r="Q45" i="24" s="1"/>
  <c r="M44" i="24"/>
  <c r="M45" i="24" s="1"/>
  <c r="I44" i="24"/>
  <c r="X43" i="24"/>
  <c r="W43" i="24"/>
  <c r="V43" i="24"/>
  <c r="T43" i="24"/>
  <c r="S43" i="24"/>
  <c r="R43" i="24"/>
  <c r="P43" i="24"/>
  <c r="O43" i="24"/>
  <c r="N43" i="24"/>
  <c r="L43" i="24"/>
  <c r="K43" i="24"/>
  <c r="J43" i="24"/>
  <c r="U42" i="24"/>
  <c r="Q42" i="24"/>
  <c r="M42" i="24"/>
  <c r="I42" i="24"/>
  <c r="U41" i="24"/>
  <c r="Q41" i="24"/>
  <c r="M41" i="24"/>
  <c r="I41" i="24"/>
  <c r="X40" i="24"/>
  <c r="W40" i="24"/>
  <c r="V40" i="24"/>
  <c r="T40" i="24"/>
  <c r="S40" i="24"/>
  <c r="R40" i="24"/>
  <c r="P40" i="24"/>
  <c r="O40" i="24"/>
  <c r="N40" i="24"/>
  <c r="L40" i="24"/>
  <c r="K40" i="24"/>
  <c r="J40" i="24"/>
  <c r="U39" i="24"/>
  <c r="Q39" i="24"/>
  <c r="M39" i="24"/>
  <c r="M40" i="24" s="1"/>
  <c r="I39" i="24"/>
  <c r="X38" i="24"/>
  <c r="W38" i="24"/>
  <c r="V38" i="24"/>
  <c r="T38" i="24"/>
  <c r="S38" i="24"/>
  <c r="R38" i="24"/>
  <c r="P38" i="24"/>
  <c r="O38" i="24"/>
  <c r="N38" i="24"/>
  <c r="L38" i="24"/>
  <c r="K38" i="24"/>
  <c r="J38" i="24"/>
  <c r="U36" i="24"/>
  <c r="Q36" i="24"/>
  <c r="M36" i="24"/>
  <c r="I36" i="24"/>
  <c r="W35" i="24"/>
  <c r="V35" i="24"/>
  <c r="S35" i="24"/>
  <c r="R35" i="24"/>
  <c r="O35" i="24"/>
  <c r="N35" i="24"/>
  <c r="L35" i="24"/>
  <c r="K35" i="24"/>
  <c r="J35" i="24"/>
  <c r="U34" i="24"/>
  <c r="Q34" i="24"/>
  <c r="M34" i="24"/>
  <c r="I34" i="24"/>
  <c r="U33" i="24"/>
  <c r="Q33" i="24"/>
  <c r="M33" i="24"/>
  <c r="I33" i="24"/>
  <c r="U32" i="24"/>
  <c r="Q32" i="24"/>
  <c r="M32" i="24"/>
  <c r="I32" i="24"/>
  <c r="U31" i="24"/>
  <c r="U358" i="24" s="1"/>
  <c r="Q31" i="24"/>
  <c r="M31" i="24"/>
  <c r="I31" i="24"/>
  <c r="U30" i="24"/>
  <c r="Q30" i="24"/>
  <c r="M30" i="24"/>
  <c r="I30" i="24"/>
  <c r="U29" i="24"/>
  <c r="Q29" i="24"/>
  <c r="M29" i="24"/>
  <c r="I29" i="24"/>
  <c r="U28" i="24"/>
  <c r="Q28" i="24"/>
  <c r="M28" i="24"/>
  <c r="I28" i="24"/>
  <c r="U27" i="24"/>
  <c r="Q27" i="24"/>
  <c r="M27" i="24"/>
  <c r="I27" i="24"/>
  <c r="U26" i="24"/>
  <c r="Q26" i="24"/>
  <c r="M26" i="24"/>
  <c r="I26" i="24"/>
  <c r="U25" i="24"/>
  <c r="Q25" i="24"/>
  <c r="M25" i="24"/>
  <c r="I25" i="24"/>
  <c r="M24" i="24"/>
  <c r="I24" i="24"/>
  <c r="U23" i="24"/>
  <c r="Q23" i="24"/>
  <c r="M23" i="24"/>
  <c r="I23" i="24"/>
  <c r="U22" i="24"/>
  <c r="Q22" i="24"/>
  <c r="M22" i="24"/>
  <c r="I22" i="24"/>
  <c r="U21" i="24"/>
  <c r="Q21" i="24"/>
  <c r="M21" i="24"/>
  <c r="I21" i="24"/>
  <c r="X20" i="24"/>
  <c r="X352" i="24" s="1"/>
  <c r="T20" i="24"/>
  <c r="T352" i="24" s="1"/>
  <c r="P20" i="24"/>
  <c r="P352" i="24" s="1"/>
  <c r="P365" i="24" s="1"/>
  <c r="I20" i="24"/>
  <c r="U19" i="24"/>
  <c r="Q19" i="24"/>
  <c r="M19" i="24"/>
  <c r="I19" i="24"/>
  <c r="U18" i="24"/>
  <c r="Q18" i="24"/>
  <c r="M18" i="24"/>
  <c r="I18" i="24"/>
  <c r="U17" i="24"/>
  <c r="Q17" i="24"/>
  <c r="M17" i="24"/>
  <c r="I17" i="24"/>
  <c r="X16" i="24"/>
  <c r="W16" i="24"/>
  <c r="V16" i="24"/>
  <c r="T16" i="24"/>
  <c r="S16" i="24"/>
  <c r="R16" i="24"/>
  <c r="P16" i="24"/>
  <c r="O16" i="24"/>
  <c r="N16" i="24"/>
  <c r="L16" i="24"/>
  <c r="K16" i="24"/>
  <c r="J16" i="24"/>
  <c r="U15" i="24"/>
  <c r="Q15" i="24"/>
  <c r="M15" i="24"/>
  <c r="I15" i="24"/>
  <c r="U14" i="24"/>
  <c r="Q14" i="24"/>
  <c r="M14" i="24"/>
  <c r="I14" i="24"/>
  <c r="U13" i="24"/>
  <c r="Q13" i="24"/>
  <c r="M13" i="24"/>
  <c r="I13" i="24"/>
  <c r="U12" i="24"/>
  <c r="Q12" i="24"/>
  <c r="M12" i="24"/>
  <c r="I12" i="24"/>
  <c r="U120" i="24" l="1"/>
  <c r="I133" i="24"/>
  <c r="I143" i="24"/>
  <c r="I197" i="24"/>
  <c r="S336" i="24"/>
  <c r="I400" i="24"/>
  <c r="S222" i="24"/>
  <c r="O222" i="24"/>
  <c r="P366" i="24"/>
  <c r="P336" i="24"/>
  <c r="J162" i="24"/>
  <c r="J222" i="24" s="1"/>
  <c r="J336" i="24"/>
  <c r="I336" i="24" s="1"/>
  <c r="M336" i="24"/>
  <c r="T222" i="24"/>
  <c r="K368" i="24"/>
  <c r="K336" i="24"/>
  <c r="M127" i="24"/>
  <c r="M72" i="24"/>
  <c r="M76" i="24"/>
  <c r="M78" i="24"/>
  <c r="M60" i="24"/>
  <c r="Q67" i="24"/>
  <c r="I160" i="24"/>
  <c r="I35" i="24"/>
  <c r="M38" i="24"/>
  <c r="I67" i="24"/>
  <c r="I69" i="24"/>
  <c r="Q241" i="24"/>
  <c r="M270" i="24"/>
  <c r="M272" i="24"/>
  <c r="M274" i="24"/>
  <c r="M276" i="24"/>
  <c r="S335" i="24"/>
  <c r="L395" i="24"/>
  <c r="Q359" i="24"/>
  <c r="L392" i="24"/>
  <c r="W395" i="24"/>
  <c r="T365" i="24"/>
  <c r="Q243" i="24"/>
  <c r="S331" i="24"/>
  <c r="O385" i="24"/>
  <c r="Q397" i="24"/>
  <c r="M400" i="24"/>
  <c r="M402" i="24"/>
  <c r="U359" i="24"/>
  <c r="W335" i="24"/>
  <c r="M16" i="24"/>
  <c r="I43" i="24"/>
  <c r="I45" i="24"/>
  <c r="I49" i="24"/>
  <c r="I55" i="24"/>
  <c r="U67" i="24"/>
  <c r="K317" i="24"/>
  <c r="U324" i="24"/>
  <c r="U387" i="24"/>
  <c r="I391" i="24"/>
  <c r="Q52" i="24"/>
  <c r="W392" i="24"/>
  <c r="Q72" i="24"/>
  <c r="I124" i="24"/>
  <c r="U325" i="24"/>
  <c r="P392" i="24"/>
  <c r="S264" i="24"/>
  <c r="S265" i="24" s="1"/>
  <c r="L335" i="24"/>
  <c r="M354" i="24"/>
  <c r="S195" i="24"/>
  <c r="P213" i="24"/>
  <c r="L375" i="24"/>
  <c r="U321" i="24"/>
  <c r="K385" i="24"/>
  <c r="J392" i="24"/>
  <c r="T392" i="24"/>
  <c r="J395" i="24"/>
  <c r="T395" i="24"/>
  <c r="Q395" i="24" s="1"/>
  <c r="O395" i="24"/>
  <c r="X365" i="24"/>
  <c r="M358" i="24"/>
  <c r="R195" i="24"/>
  <c r="R222" i="24" s="1"/>
  <c r="Q222" i="24" s="1"/>
  <c r="O213" i="24"/>
  <c r="Q38" i="24"/>
  <c r="Q40" i="24"/>
  <c r="M67" i="24"/>
  <c r="M74" i="24"/>
  <c r="Q120" i="24"/>
  <c r="O264" i="24"/>
  <c r="O265" i="24" s="1"/>
  <c r="Q281" i="24"/>
  <c r="Q283" i="24"/>
  <c r="I298" i="24"/>
  <c r="I300" i="24"/>
  <c r="I302" i="24"/>
  <c r="R316" i="24"/>
  <c r="Q316" i="24" s="1"/>
  <c r="T317" i="24"/>
  <c r="Q317" i="24" s="1"/>
  <c r="Q380" i="24"/>
  <c r="Q69" i="24"/>
  <c r="M390" i="24"/>
  <c r="O332" i="24"/>
  <c r="T385" i="24"/>
  <c r="Q16" i="24"/>
  <c r="M43" i="24"/>
  <c r="M49" i="24"/>
  <c r="Q74" i="24"/>
  <c r="Q76" i="24"/>
  <c r="I120" i="24"/>
  <c r="M162" i="24"/>
  <c r="M170" i="24"/>
  <c r="I193" i="24"/>
  <c r="V195" i="24"/>
  <c r="V222" i="24" s="1"/>
  <c r="M212" i="24"/>
  <c r="U234" i="24"/>
  <c r="S303" i="24"/>
  <c r="S333" i="24" s="1"/>
  <c r="U298" i="24"/>
  <c r="U300" i="24"/>
  <c r="U302" i="24"/>
  <c r="I330" i="24"/>
  <c r="Q340" i="24"/>
  <c r="Q342" i="24"/>
  <c r="U344" i="24"/>
  <c r="M349" i="24"/>
  <c r="Q370" i="24"/>
  <c r="M376" i="24"/>
  <c r="Q391" i="24"/>
  <c r="Q394" i="24"/>
  <c r="I398" i="24"/>
  <c r="U400" i="24"/>
  <c r="U402" i="24"/>
  <c r="O277" i="24"/>
  <c r="K335" i="24"/>
  <c r="U16" i="24"/>
  <c r="Q49" i="24"/>
  <c r="U74" i="24"/>
  <c r="U76" i="24"/>
  <c r="Q170" i="24"/>
  <c r="T264" i="24"/>
  <c r="T265" i="24" s="1"/>
  <c r="L303" i="24"/>
  <c r="L333" i="24" s="1"/>
  <c r="W303" i="24"/>
  <c r="W333" i="24" s="1"/>
  <c r="I290" i="24"/>
  <c r="I292" i="24"/>
  <c r="I294" i="24"/>
  <c r="U337" i="24"/>
  <c r="Q347" i="24"/>
  <c r="U355" i="24"/>
  <c r="U357" i="24"/>
  <c r="U362" i="24"/>
  <c r="U364" i="24"/>
  <c r="Q384" i="24"/>
  <c r="S365" i="24"/>
  <c r="J317" i="24"/>
  <c r="Q373" i="24"/>
  <c r="R320" i="24"/>
  <c r="Q320" i="24" s="1"/>
  <c r="W264" i="24"/>
  <c r="W265" i="24" s="1"/>
  <c r="X303" i="24"/>
  <c r="X333" i="24" s="1"/>
  <c r="T331" i="24"/>
  <c r="K162" i="24"/>
  <c r="K222" i="24" s="1"/>
  <c r="I130" i="24"/>
  <c r="Z168" i="24"/>
  <c r="X264" i="24"/>
  <c r="X265" i="24" s="1"/>
  <c r="K331" i="24"/>
  <c r="Q358" i="24"/>
  <c r="U49" i="24"/>
  <c r="I74" i="24"/>
  <c r="U133" i="24"/>
  <c r="U143" i="24"/>
  <c r="M309" i="24"/>
  <c r="Q315" i="24"/>
  <c r="L331" i="24"/>
  <c r="M384" i="24"/>
  <c r="U354" i="24"/>
  <c r="Q55" i="24"/>
  <c r="Q63" i="24"/>
  <c r="U72" i="24"/>
  <c r="Q127" i="24"/>
  <c r="L213" i="24"/>
  <c r="W213" i="24"/>
  <c r="S317" i="24"/>
  <c r="U322" i="24"/>
  <c r="R324" i="24"/>
  <c r="Q324" i="24" s="1"/>
  <c r="N395" i="24"/>
  <c r="U63" i="24"/>
  <c r="X213" i="24"/>
  <c r="I218" i="24"/>
  <c r="Q245" i="24"/>
  <c r="S332" i="24"/>
  <c r="O392" i="24"/>
  <c r="M359" i="24"/>
  <c r="U69" i="24"/>
  <c r="Q78" i="24"/>
  <c r="I136" i="24"/>
  <c r="I138" i="24"/>
  <c r="I140" i="24"/>
  <c r="I146" i="24"/>
  <c r="U197" i="24"/>
  <c r="I225" i="24"/>
  <c r="M230" i="24"/>
  <c r="M234" i="24"/>
  <c r="N277" i="24"/>
  <c r="M277" i="24" s="1"/>
  <c r="Q309" i="24"/>
  <c r="S372" i="24"/>
  <c r="P330" i="24"/>
  <c r="M330" i="24" s="1"/>
  <c r="O331" i="24"/>
  <c r="Q344" i="24"/>
  <c r="M370" i="24"/>
  <c r="P395" i="24"/>
  <c r="U394" i="24"/>
  <c r="M398" i="24"/>
  <c r="I401" i="24"/>
  <c r="I16" i="24"/>
  <c r="U38" i="24"/>
  <c r="U40" i="24"/>
  <c r="M69" i="24"/>
  <c r="U127" i="24"/>
  <c r="U170" i="24"/>
  <c r="U212" i="24"/>
  <c r="I249" i="24"/>
  <c r="I263" i="24"/>
  <c r="U263" i="24"/>
  <c r="X317" i="24"/>
  <c r="U317" i="24" s="1"/>
  <c r="M383" i="24"/>
  <c r="I397" i="24"/>
  <c r="M399" i="24"/>
  <c r="U401" i="24"/>
  <c r="Q390" i="24"/>
  <c r="Q354" i="24"/>
  <c r="U43" i="24"/>
  <c r="I47" i="24"/>
  <c r="U52" i="24"/>
  <c r="Q60" i="24"/>
  <c r="M136" i="24"/>
  <c r="M138" i="24"/>
  <c r="M347" i="24"/>
  <c r="U60" i="24"/>
  <c r="I78" i="24"/>
  <c r="M241" i="24"/>
  <c r="N246" i="24"/>
  <c r="M246" i="24" s="1"/>
  <c r="N324" i="24"/>
  <c r="M324" i="24" s="1"/>
  <c r="M322" i="24"/>
  <c r="Q345" i="24"/>
  <c r="I38" i="24"/>
  <c r="I40" i="24"/>
  <c r="M55" i="24"/>
  <c r="M63" i="24"/>
  <c r="U230" i="24"/>
  <c r="V235" i="24"/>
  <c r="U235" i="24" s="1"/>
  <c r="Z152" i="24"/>
  <c r="I127" i="24"/>
  <c r="M211" i="24"/>
  <c r="N213" i="24"/>
  <c r="N222" i="24" s="1"/>
  <c r="M222" i="24" s="1"/>
  <c r="N372" i="24"/>
  <c r="N375" i="24" s="1"/>
  <c r="M327" i="24"/>
  <c r="N331" i="24"/>
  <c r="M331" i="24" s="1"/>
  <c r="I349" i="24"/>
  <c r="Q43" i="24"/>
  <c r="I52" i="24"/>
  <c r="U55" i="24"/>
  <c r="O335" i="24"/>
  <c r="M52" i="24"/>
  <c r="U225" i="24"/>
  <c r="V226" i="24"/>
  <c r="U226" i="24" s="1"/>
  <c r="T372" i="24"/>
  <c r="Q372" i="24" s="1"/>
  <c r="Q313" i="24"/>
  <c r="M318" i="24"/>
  <c r="N320" i="24"/>
  <c r="M320" i="24" s="1"/>
  <c r="U347" i="24"/>
  <c r="U136" i="24"/>
  <c r="U138" i="24"/>
  <c r="U140" i="24"/>
  <c r="U146" i="24"/>
  <c r="U369" i="24"/>
  <c r="K170" i="24"/>
  <c r="J213" i="24"/>
  <c r="T213" i="24"/>
  <c r="Q230" i="24"/>
  <c r="Q234" i="24"/>
  <c r="T332" i="24"/>
  <c r="J331" i="24"/>
  <c r="P338" i="24"/>
  <c r="N378" i="24"/>
  <c r="M378" i="24" s="1"/>
  <c r="X385" i="24"/>
  <c r="Q133" i="24"/>
  <c r="Q143" i="24"/>
  <c r="U162" i="24"/>
  <c r="K365" i="24"/>
  <c r="Q197" i="24"/>
  <c r="K213" i="24"/>
  <c r="U211" i="24"/>
  <c r="V213" i="24"/>
  <c r="Q225" i="24"/>
  <c r="I241" i="24"/>
  <c r="I243" i="24"/>
  <c r="I245" i="24"/>
  <c r="P264" i="24"/>
  <c r="P265" i="24" s="1"/>
  <c r="Q263" i="24"/>
  <c r="U270" i="24"/>
  <c r="U272" i="24"/>
  <c r="U274" i="24"/>
  <c r="U276" i="24"/>
  <c r="O303" i="24"/>
  <c r="Q298" i="24"/>
  <c r="Q300" i="24"/>
  <c r="Q302" i="24"/>
  <c r="I309" i="24"/>
  <c r="I316" i="24"/>
  <c r="W332" i="24"/>
  <c r="U368" i="24"/>
  <c r="Q387" i="24"/>
  <c r="M140" i="24"/>
  <c r="M146" i="24"/>
  <c r="M369" i="24"/>
  <c r="Q212" i="24"/>
  <c r="I230" i="24"/>
  <c r="I234" i="24"/>
  <c r="U241" i="24"/>
  <c r="U243" i="24"/>
  <c r="U245" i="24"/>
  <c r="Q249" i="24"/>
  <c r="P303" i="24"/>
  <c r="P333" i="24" s="1"/>
  <c r="Q287" i="24"/>
  <c r="M290" i="24"/>
  <c r="M292" i="24"/>
  <c r="M294" i="24"/>
  <c r="U309" i="24"/>
  <c r="Q314" i="24"/>
  <c r="P317" i="24"/>
  <c r="M317" i="24" s="1"/>
  <c r="K332" i="24"/>
  <c r="X332" i="24"/>
  <c r="I320" i="24"/>
  <c r="I325" i="24"/>
  <c r="I324" i="24"/>
  <c r="R331" i="24"/>
  <c r="Q331" i="24" s="1"/>
  <c r="Q337" i="24"/>
  <c r="U339" i="24"/>
  <c r="U341" i="24"/>
  <c r="U343" i="24"/>
  <c r="U348" i="24"/>
  <c r="I355" i="24"/>
  <c r="I357" i="24"/>
  <c r="I359" i="24"/>
  <c r="I362" i="24"/>
  <c r="I364" i="24"/>
  <c r="M373" i="24"/>
  <c r="P385" i="24"/>
  <c r="M394" i="24"/>
  <c r="L332" i="24"/>
  <c r="N392" i="24"/>
  <c r="X392" i="24"/>
  <c r="U392" i="24" s="1"/>
  <c r="K395" i="24"/>
  <c r="V395" i="24"/>
  <c r="Q136" i="24"/>
  <c r="Q138" i="24"/>
  <c r="Q140" i="24"/>
  <c r="Q146" i="24"/>
  <c r="M348" i="24"/>
  <c r="V277" i="24"/>
  <c r="U277" i="24" s="1"/>
  <c r="I281" i="24"/>
  <c r="T303" i="24"/>
  <c r="T333" i="24" s="1"/>
  <c r="I283" i="24"/>
  <c r="I287" i="24"/>
  <c r="U287" i="24"/>
  <c r="Q290" i="24"/>
  <c r="Q292" i="24"/>
  <c r="Q294" i="24"/>
  <c r="J372" i="24"/>
  <c r="J375" i="24" s="1"/>
  <c r="U313" i="24"/>
  <c r="J321" i="24"/>
  <c r="S374" i="24"/>
  <c r="M133" i="24"/>
  <c r="M143" i="24"/>
  <c r="Q162" i="24"/>
  <c r="M197" i="24"/>
  <c r="R213" i="24"/>
  <c r="M225" i="24"/>
  <c r="N235" i="24"/>
  <c r="M235" i="24" s="1"/>
  <c r="R246" i="24"/>
  <c r="Q246" i="24" s="1"/>
  <c r="Q272" i="24"/>
  <c r="Q274" i="24"/>
  <c r="Q276" i="24"/>
  <c r="K303" i="24"/>
  <c r="K333" i="24" s="1"/>
  <c r="U281" i="24"/>
  <c r="U283" i="24"/>
  <c r="M298" i="24"/>
  <c r="M300" i="24"/>
  <c r="M302" i="24"/>
  <c r="W372" i="24"/>
  <c r="W375" i="24" s="1"/>
  <c r="U315" i="24"/>
  <c r="O317" i="24"/>
  <c r="V331" i="24"/>
  <c r="U331" i="24" s="1"/>
  <c r="U340" i="24"/>
  <c r="U342" i="24"/>
  <c r="I354" i="24"/>
  <c r="I356" i="24"/>
  <c r="I358" i="24"/>
  <c r="I361" i="24"/>
  <c r="I363" i="24"/>
  <c r="I367" i="24"/>
  <c r="Q368" i="24"/>
  <c r="Q376" i="24"/>
  <c r="U391" i="24"/>
  <c r="X395" i="24"/>
  <c r="S213" i="24"/>
  <c r="N226" i="24"/>
  <c r="M226" i="24" s="1"/>
  <c r="R235" i="24"/>
  <c r="Q235" i="24" s="1"/>
  <c r="V246" i="24"/>
  <c r="U246" i="24" s="1"/>
  <c r="V264" i="24"/>
  <c r="R303" i="24"/>
  <c r="R333" i="24" s="1"/>
  <c r="W317" i="24"/>
  <c r="U319" i="24"/>
  <c r="U323" i="24"/>
  <c r="M328" i="24"/>
  <c r="W331" i="24"/>
  <c r="Q339" i="24"/>
  <c r="Q341" i="24"/>
  <c r="Q343" i="24"/>
  <c r="U345" i="24"/>
  <c r="Q348" i="24"/>
  <c r="U356" i="24"/>
  <c r="U361" i="24"/>
  <c r="U363" i="24"/>
  <c r="U367" i="24"/>
  <c r="X374" i="24"/>
  <c r="X375" i="24" s="1"/>
  <c r="L385" i="24"/>
  <c r="W385" i="24"/>
  <c r="Q383" i="24"/>
  <c r="R392" i="24"/>
  <c r="I394" i="24"/>
  <c r="Q277" i="24"/>
  <c r="O121" i="24"/>
  <c r="O388" i="24"/>
  <c r="O389" i="24" s="1"/>
  <c r="O338" i="24"/>
  <c r="J226" i="24"/>
  <c r="I226" i="24" s="1"/>
  <c r="J310" i="24"/>
  <c r="I310" i="24" s="1"/>
  <c r="I307" i="24"/>
  <c r="P335" i="24"/>
  <c r="T335" i="24"/>
  <c r="X335" i="24"/>
  <c r="Q20" i="24"/>
  <c r="Q352" i="24" s="1"/>
  <c r="I57" i="24"/>
  <c r="I60" i="24"/>
  <c r="I63" i="24"/>
  <c r="I65" i="24"/>
  <c r="K121" i="24"/>
  <c r="Q124" i="24"/>
  <c r="I158" i="24"/>
  <c r="M158" i="24"/>
  <c r="Q158" i="24"/>
  <c r="U158" i="24"/>
  <c r="K388" i="24"/>
  <c r="K389" i="24" s="1"/>
  <c r="K338" i="24"/>
  <c r="V388" i="24"/>
  <c r="U193" i="24"/>
  <c r="V338" i="24"/>
  <c r="V360" i="24"/>
  <c r="V365" i="24" s="1"/>
  <c r="U194" i="24"/>
  <c r="U360" i="24" s="1"/>
  <c r="K195" i="24"/>
  <c r="I211" i="24"/>
  <c r="Q211" i="24"/>
  <c r="I212" i="24"/>
  <c r="M251" i="24"/>
  <c r="I270" i="24"/>
  <c r="Q270" i="24"/>
  <c r="I277" i="24"/>
  <c r="M284" i="24"/>
  <c r="U310" i="24"/>
  <c r="V316" i="24"/>
  <c r="U314" i="24"/>
  <c r="L317" i="24"/>
  <c r="O321" i="24"/>
  <c r="O374" i="24"/>
  <c r="O375" i="24" s="1"/>
  <c r="V320" i="24"/>
  <c r="U320" i="24" s="1"/>
  <c r="J360" i="24"/>
  <c r="I360" i="24" s="1"/>
  <c r="I194" i="24"/>
  <c r="J303" i="24"/>
  <c r="U390" i="24"/>
  <c r="T35" i="24"/>
  <c r="T121" i="24" s="1"/>
  <c r="L121" i="24"/>
  <c r="W121" i="24"/>
  <c r="M124" i="24"/>
  <c r="I369" i="24"/>
  <c r="Q369" i="24"/>
  <c r="L353" i="24"/>
  <c r="I353" i="24" s="1"/>
  <c r="L162" i="24"/>
  <c r="I162" i="24" s="1"/>
  <c r="J370" i="24"/>
  <c r="I370" i="24" s="1"/>
  <c r="I168" i="24"/>
  <c r="R388" i="24"/>
  <c r="R338" i="24"/>
  <c r="Q193" i="24"/>
  <c r="W388" i="24"/>
  <c r="W389" i="24" s="1"/>
  <c r="W338" i="24"/>
  <c r="R360" i="24"/>
  <c r="R365" i="24" s="1"/>
  <c r="Q194" i="24"/>
  <c r="Q360" i="24" s="1"/>
  <c r="N366" i="24"/>
  <c r="R366" i="24"/>
  <c r="V366" i="24"/>
  <c r="N263" i="24"/>
  <c r="J264" i="24"/>
  <c r="I264" i="24" s="1"/>
  <c r="R264" i="24"/>
  <c r="M365" i="24"/>
  <c r="N287" i="24"/>
  <c r="M287" i="24" s="1"/>
  <c r="V303" i="24"/>
  <c r="Q310" i="24"/>
  <c r="N316" i="24"/>
  <c r="M314" i="24"/>
  <c r="U124" i="24"/>
  <c r="J195" i="24"/>
  <c r="Q226" i="24"/>
  <c r="J235" i="24"/>
  <c r="I235" i="24" s="1"/>
  <c r="J246" i="24"/>
  <c r="P35" i="24"/>
  <c r="M35" i="24" s="1"/>
  <c r="X35" i="24"/>
  <c r="X121" i="24" s="1"/>
  <c r="J335" i="24"/>
  <c r="J121" i="24"/>
  <c r="N335" i="24"/>
  <c r="N121" i="24"/>
  <c r="R335" i="24"/>
  <c r="R121" i="24"/>
  <c r="V335" i="24"/>
  <c r="V121" i="24"/>
  <c r="M20" i="24"/>
  <c r="M352" i="24" s="1"/>
  <c r="U20" i="24"/>
  <c r="U352" i="24" s="1"/>
  <c r="S121" i="24"/>
  <c r="J388" i="24"/>
  <c r="J338" i="24"/>
  <c r="J170" i="24"/>
  <c r="I170" i="24" s="1"/>
  <c r="I165" i="24"/>
  <c r="N388" i="24"/>
  <c r="N338" i="24"/>
  <c r="M193" i="24"/>
  <c r="S338" i="24"/>
  <c r="S388" i="24"/>
  <c r="S389" i="24" s="1"/>
  <c r="N360" i="24"/>
  <c r="M194" i="24"/>
  <c r="M360" i="24" s="1"/>
  <c r="O195" i="24"/>
  <c r="W195" i="24"/>
  <c r="W222" i="24" s="1"/>
  <c r="K371" i="24"/>
  <c r="N310" i="24"/>
  <c r="M310" i="24" s="1"/>
  <c r="M307" i="24"/>
  <c r="J368" i="24"/>
  <c r="I368" i="24" s="1"/>
  <c r="L388" i="24"/>
  <c r="L389" i="24" s="1"/>
  <c r="L338" i="24"/>
  <c r="T388" i="24"/>
  <c r="T389" i="24" s="1"/>
  <c r="T338" i="24"/>
  <c r="X388" i="24"/>
  <c r="X389" i="24" s="1"/>
  <c r="X338" i="24"/>
  <c r="L195" i="24"/>
  <c r="P195" i="24"/>
  <c r="P222" i="24" s="1"/>
  <c r="T195" i="24"/>
  <c r="X195" i="24"/>
  <c r="X222" i="24" s="1"/>
  <c r="O366" i="24"/>
  <c r="O371" i="24" s="1"/>
  <c r="W366" i="24"/>
  <c r="W371" i="24" s="1"/>
  <c r="M313" i="24"/>
  <c r="M315" i="24"/>
  <c r="I374" i="24"/>
  <c r="P321" i="24"/>
  <c r="M321" i="24" s="1"/>
  <c r="M319" i="24"/>
  <c r="P374" i="24"/>
  <c r="P375" i="24" s="1"/>
  <c r="P325" i="24"/>
  <c r="M325" i="24" s="1"/>
  <c r="M323" i="24"/>
  <c r="I352" i="24"/>
  <c r="W365" i="24"/>
  <c r="M380" i="24"/>
  <c r="N381" i="24"/>
  <c r="M381" i="24" s="1"/>
  <c r="I344" i="24"/>
  <c r="L366" i="24"/>
  <c r="L371" i="24" s="1"/>
  <c r="P371" i="24"/>
  <c r="T366" i="24"/>
  <c r="T371" i="24" s="1"/>
  <c r="X366" i="24"/>
  <c r="X371" i="24" s="1"/>
  <c r="Q307" i="24"/>
  <c r="U307" i="24"/>
  <c r="K374" i="24"/>
  <c r="K375" i="24" s="1"/>
  <c r="K321" i="24"/>
  <c r="S366" i="24"/>
  <c r="S371" i="24" s="1"/>
  <c r="J332" i="24"/>
  <c r="T321" i="24"/>
  <c r="Q321" i="24" s="1"/>
  <c r="Q319" i="24"/>
  <c r="T374" i="24"/>
  <c r="T325" i="24"/>
  <c r="Q325" i="24" s="1"/>
  <c r="Q323" i="24"/>
  <c r="V375" i="24"/>
  <c r="U372" i="24"/>
  <c r="R378" i="24"/>
  <c r="Q378" i="24" s="1"/>
  <c r="R385" i="24"/>
  <c r="Q382" i="24"/>
  <c r="W321" i="24"/>
  <c r="M337" i="24"/>
  <c r="M339" i="24"/>
  <c r="M340" i="24"/>
  <c r="M341" i="24"/>
  <c r="M342" i="24"/>
  <c r="M343" i="24"/>
  <c r="M344" i="24"/>
  <c r="M345" i="24"/>
  <c r="M346" i="24"/>
  <c r="Q355" i="24"/>
  <c r="Q356" i="24"/>
  <c r="Q357" i="24"/>
  <c r="Q361" i="24"/>
  <c r="Q362" i="24"/>
  <c r="Q363" i="24"/>
  <c r="Q364" i="24"/>
  <c r="Q367" i="24"/>
  <c r="M368" i="24"/>
  <c r="I373" i="24"/>
  <c r="N385" i="24"/>
  <c r="M382" i="24"/>
  <c r="L321" i="24"/>
  <c r="I337" i="24"/>
  <c r="I339" i="24"/>
  <c r="I340" i="24"/>
  <c r="I341" i="24"/>
  <c r="I342" i="24"/>
  <c r="I343" i="24"/>
  <c r="I345" i="24"/>
  <c r="I346" i="24"/>
  <c r="M355" i="24"/>
  <c r="M356" i="24"/>
  <c r="M357" i="24"/>
  <c r="M361" i="24"/>
  <c r="M362" i="24"/>
  <c r="M363" i="24"/>
  <c r="M364" i="24"/>
  <c r="M367" i="24"/>
  <c r="U370" i="24"/>
  <c r="U373" i="24"/>
  <c r="R375" i="24"/>
  <c r="R381" i="24"/>
  <c r="Q381" i="24" s="1"/>
  <c r="I376" i="24"/>
  <c r="J378" i="24"/>
  <c r="I378" i="24" s="1"/>
  <c r="I380" i="24"/>
  <c r="J381" i="24"/>
  <c r="I381" i="24" s="1"/>
  <c r="I382" i="24"/>
  <c r="I383" i="24"/>
  <c r="I384" i="24"/>
  <c r="J385" i="24"/>
  <c r="M387" i="24"/>
  <c r="U376" i="24"/>
  <c r="V378" i="24"/>
  <c r="U378" i="24" s="1"/>
  <c r="U380" i="24"/>
  <c r="V381" i="24"/>
  <c r="U381" i="24" s="1"/>
  <c r="V385" i="24"/>
  <c r="U382" i="24"/>
  <c r="U383" i="24"/>
  <c r="U384" i="24"/>
  <c r="I387" i="24"/>
  <c r="I386" i="24"/>
  <c r="M386" i="24"/>
  <c r="Q386" i="24"/>
  <c r="U386" i="24"/>
  <c r="I390" i="24"/>
  <c r="I393" i="24"/>
  <c r="M393" i="24"/>
  <c r="Q393" i="24"/>
  <c r="U393" i="24"/>
  <c r="U222" i="24" l="1"/>
  <c r="L222" i="24"/>
  <c r="I222" i="24" s="1"/>
  <c r="M392" i="24"/>
  <c r="I392" i="24"/>
  <c r="U303" i="24"/>
  <c r="S375" i="24"/>
  <c r="S403" i="24" s="1"/>
  <c r="Q332" i="24"/>
  <c r="M395" i="24"/>
  <c r="Q392" i="24"/>
  <c r="M385" i="24"/>
  <c r="I317" i="24"/>
  <c r="I395" i="24"/>
  <c r="I385" i="24"/>
  <c r="I375" i="24"/>
  <c r="I213" i="24"/>
  <c r="R332" i="24"/>
  <c r="M213" i="24"/>
  <c r="U195" i="24"/>
  <c r="I321" i="24"/>
  <c r="Q213" i="24"/>
  <c r="O333" i="24"/>
  <c r="U385" i="24"/>
  <c r="M372" i="24"/>
  <c r="L236" i="24"/>
  <c r="L334" i="24" s="1"/>
  <c r="U264" i="24"/>
  <c r="U265" i="24" s="1"/>
  <c r="U213" i="24"/>
  <c r="P403" i="24"/>
  <c r="S236" i="24"/>
  <c r="S334" i="24" s="1"/>
  <c r="Q264" i="24"/>
  <c r="Q265" i="24" s="1"/>
  <c r="T375" i="24"/>
  <c r="T403" i="24" s="1"/>
  <c r="I372" i="24"/>
  <c r="P332" i="24"/>
  <c r="Q195" i="24"/>
  <c r="I303" i="24"/>
  <c r="I331" i="24"/>
  <c r="U374" i="24"/>
  <c r="Q385" i="24"/>
  <c r="L365" i="24"/>
  <c r="L403" i="24" s="1"/>
  <c r="I195" i="24"/>
  <c r="I332" i="24"/>
  <c r="M195" i="24"/>
  <c r="V265" i="24"/>
  <c r="Q333" i="24"/>
  <c r="W350" i="24"/>
  <c r="K350" i="24"/>
  <c r="S350" i="24"/>
  <c r="X403" i="24"/>
  <c r="R236" i="24"/>
  <c r="Q35" i="24"/>
  <c r="Q374" i="24"/>
  <c r="V236" i="24"/>
  <c r="N236" i="24"/>
  <c r="M338" i="24"/>
  <c r="U375" i="24"/>
  <c r="L350" i="24"/>
  <c r="J365" i="24"/>
  <c r="N303" i="24"/>
  <c r="M303" i="24" s="1"/>
  <c r="K403" i="24"/>
  <c r="J333" i="24"/>
  <c r="I333" i="24" s="1"/>
  <c r="X350" i="24"/>
  <c r="O350" i="24"/>
  <c r="Q303" i="24"/>
  <c r="U395" i="24"/>
  <c r="O403" i="24"/>
  <c r="U365" i="24"/>
  <c r="Q365" i="24"/>
  <c r="N389" i="24"/>
  <c r="M389" i="24" s="1"/>
  <c r="M388" i="24"/>
  <c r="J389" i="24"/>
  <c r="I389" i="24" s="1"/>
  <c r="I388" i="24"/>
  <c r="N371" i="24"/>
  <c r="M366" i="24"/>
  <c r="V389" i="24"/>
  <c r="U389" i="24" s="1"/>
  <c r="U388" i="24"/>
  <c r="M374" i="24"/>
  <c r="Q121" i="24"/>
  <c r="I121" i="24"/>
  <c r="I246" i="24"/>
  <c r="I265" i="24" s="1"/>
  <c r="J265" i="24"/>
  <c r="M263" i="24"/>
  <c r="N264" i="24"/>
  <c r="I366" i="24"/>
  <c r="P121" i="24"/>
  <c r="T350" i="24"/>
  <c r="U35" i="24"/>
  <c r="M375" i="24"/>
  <c r="U335" i="24"/>
  <c r="V350" i="24"/>
  <c r="W403" i="24"/>
  <c r="Q335" i="24"/>
  <c r="R350" i="24"/>
  <c r="I335" i="24"/>
  <c r="J350" i="24"/>
  <c r="R371" i="24"/>
  <c r="Q371" i="24" s="1"/>
  <c r="Q366" i="24"/>
  <c r="J371" i="24"/>
  <c r="I371" i="24" s="1"/>
  <c r="Q338" i="24"/>
  <c r="U338" i="24"/>
  <c r="K236" i="24"/>
  <c r="K334" i="24" s="1"/>
  <c r="P350" i="24"/>
  <c r="V333" i="24"/>
  <c r="U333" i="24" s="1"/>
  <c r="O236" i="24"/>
  <c r="M335" i="24"/>
  <c r="N350" i="24"/>
  <c r="V371" i="24"/>
  <c r="U371" i="24" s="1"/>
  <c r="U366" i="24"/>
  <c r="W236" i="24"/>
  <c r="W334" i="24" s="1"/>
  <c r="I338" i="24"/>
  <c r="U121" i="24"/>
  <c r="N332" i="24"/>
  <c r="M316" i="24"/>
  <c r="M332" i="24" s="1"/>
  <c r="R389" i="24"/>
  <c r="Q389" i="24" s="1"/>
  <c r="Q388" i="24"/>
  <c r="V332" i="24"/>
  <c r="U316" i="24"/>
  <c r="U332" i="24" s="1"/>
  <c r="R265" i="24"/>
  <c r="L405" i="24" l="1"/>
  <c r="M126" i="12"/>
  <c r="I365" i="24"/>
  <c r="Q375" i="24"/>
  <c r="S405" i="24"/>
  <c r="O334" i="24"/>
  <c r="O405" i="24" s="1"/>
  <c r="P236" i="24"/>
  <c r="P334" i="24" s="1"/>
  <c r="P405" i="24" s="1"/>
  <c r="K405" i="24"/>
  <c r="I350" i="24"/>
  <c r="N333" i="24"/>
  <c r="M333" i="24" s="1"/>
  <c r="U350" i="24"/>
  <c r="W405" i="24"/>
  <c r="M121" i="24"/>
  <c r="V334" i="24"/>
  <c r="M371" i="24"/>
  <c r="N403" i="24"/>
  <c r="M403" i="24" s="1"/>
  <c r="J403" i="24"/>
  <c r="I403" i="24" s="1"/>
  <c r="M264" i="24"/>
  <c r="M265" i="24" s="1"/>
  <c r="N265" i="24"/>
  <c r="J236" i="24"/>
  <c r="X236" i="24"/>
  <c r="X334" i="24" s="1"/>
  <c r="X405" i="24" s="1"/>
  <c r="M350" i="24"/>
  <c r="T236" i="24"/>
  <c r="T334" i="24" s="1"/>
  <c r="T405" i="24" s="1"/>
  <c r="V403" i="24"/>
  <c r="U403" i="24" s="1"/>
  <c r="Q350" i="24"/>
  <c r="R334" i="24"/>
  <c r="R403" i="24"/>
  <c r="Q403" i="24" s="1"/>
  <c r="M236" i="24" l="1"/>
  <c r="N334" i="24"/>
  <c r="M334" i="24" s="1"/>
  <c r="M405" i="24" s="1"/>
  <c r="Q236" i="24"/>
  <c r="J334" i="24"/>
  <c r="I236" i="24"/>
  <c r="V405" i="24"/>
  <c r="U334" i="24"/>
  <c r="U405" i="24" s="1"/>
  <c r="R405" i="24"/>
  <c r="Q334" i="24"/>
  <c r="Q405" i="24" s="1"/>
  <c r="U236" i="24"/>
  <c r="N405" i="24" l="1"/>
  <c r="J405" i="24"/>
  <c r="I334" i="24"/>
  <c r="I405" i="24" s="1"/>
  <c r="X140" i="18" l="1"/>
  <c r="W140" i="18"/>
  <c r="V140" i="18"/>
  <c r="T140" i="18"/>
  <c r="S140" i="18"/>
  <c r="R140" i="18"/>
  <c r="P140" i="18"/>
  <c r="O140" i="18"/>
  <c r="N140" i="18"/>
  <c r="K140" i="18"/>
  <c r="L140" i="18"/>
  <c r="J140" i="18"/>
  <c r="F147" i="12"/>
  <c r="G147" i="12"/>
  <c r="H147" i="12"/>
  <c r="J147" i="12"/>
  <c r="K147" i="12"/>
  <c r="N147" i="12"/>
  <c r="O147" i="12"/>
  <c r="P147" i="12"/>
  <c r="R147" i="12"/>
  <c r="S147" i="12"/>
  <c r="T147" i="12"/>
  <c r="O286" i="22"/>
  <c r="P286" i="22"/>
  <c r="N286" i="22"/>
  <c r="X286" i="22"/>
  <c r="W286" i="22"/>
  <c r="V286" i="22"/>
  <c r="T286" i="22"/>
  <c r="S286" i="22"/>
  <c r="R286" i="22"/>
  <c r="K286" i="22"/>
  <c r="L286" i="22"/>
  <c r="J286" i="22"/>
  <c r="X293" i="22"/>
  <c r="W293" i="22"/>
  <c r="V293" i="22"/>
  <c r="T293" i="22"/>
  <c r="S293" i="22"/>
  <c r="R293" i="22"/>
  <c r="P293" i="22"/>
  <c r="O293" i="22"/>
  <c r="N293" i="22"/>
  <c r="K293" i="22"/>
  <c r="J293" i="22"/>
  <c r="Y108" i="23"/>
  <c r="I105" i="23"/>
  <c r="L103" i="23"/>
  <c r="K103" i="23"/>
  <c r="J103" i="23"/>
  <c r="L102" i="23"/>
  <c r="K102" i="23"/>
  <c r="J102" i="23"/>
  <c r="I100" i="23"/>
  <c r="L99" i="23"/>
  <c r="K99" i="23"/>
  <c r="J99" i="23"/>
  <c r="L98" i="23"/>
  <c r="K98" i="23"/>
  <c r="J98" i="23"/>
  <c r="L97" i="23"/>
  <c r="K97" i="23"/>
  <c r="J97" i="23"/>
  <c r="L96" i="23"/>
  <c r="K96" i="23"/>
  <c r="J96" i="23"/>
  <c r="L95" i="23"/>
  <c r="K95" i="23"/>
  <c r="J95" i="23"/>
  <c r="L94" i="23"/>
  <c r="K94" i="23"/>
  <c r="J94" i="23"/>
  <c r="L93" i="23"/>
  <c r="J93" i="23"/>
  <c r="T88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X81" i="23"/>
  <c r="W81" i="23"/>
  <c r="W89" i="23" s="1"/>
  <c r="V81" i="23"/>
  <c r="V89" i="23" s="1"/>
  <c r="U81" i="23"/>
  <c r="T81" i="23"/>
  <c r="S81" i="23"/>
  <c r="R81" i="23"/>
  <c r="Q81" i="23"/>
  <c r="P81" i="23"/>
  <c r="P89" i="23" s="1"/>
  <c r="O81" i="23"/>
  <c r="O89" i="23" s="1"/>
  <c r="N81" i="23"/>
  <c r="N89" i="23" s="1"/>
  <c r="M81" i="23"/>
  <c r="M89" i="23" s="1"/>
  <c r="L81" i="23"/>
  <c r="K81" i="23"/>
  <c r="J81" i="23"/>
  <c r="I81" i="23"/>
  <c r="T78" i="23"/>
  <c r="S78" i="23"/>
  <c r="R78" i="23"/>
  <c r="Q78" i="23"/>
  <c r="X75" i="23"/>
  <c r="K75" i="23"/>
  <c r="K89" i="23" s="1"/>
  <c r="J75" i="23"/>
  <c r="I73" i="23"/>
  <c r="I75" i="23" s="1"/>
  <c r="M72" i="23"/>
  <c r="X71" i="23"/>
  <c r="L71" i="23"/>
  <c r="J71" i="23"/>
  <c r="I70" i="23"/>
  <c r="X65" i="23"/>
  <c r="W65" i="23"/>
  <c r="V65" i="23"/>
  <c r="U65" i="23"/>
  <c r="T65" i="23"/>
  <c r="S65" i="23"/>
  <c r="R65" i="23"/>
  <c r="Q65" i="23"/>
  <c r="P65" i="23"/>
  <c r="O65" i="23"/>
  <c r="N65" i="23"/>
  <c r="L65" i="23"/>
  <c r="K65" i="23"/>
  <c r="J65" i="23"/>
  <c r="I65" i="23"/>
  <c r="M61" i="23"/>
  <c r="X60" i="23"/>
  <c r="W60" i="23"/>
  <c r="V60" i="23"/>
  <c r="U60" i="23"/>
  <c r="T60" i="23"/>
  <c r="S60" i="23"/>
  <c r="R60" i="23"/>
  <c r="Q60" i="23"/>
  <c r="P60" i="23"/>
  <c r="O60" i="23"/>
  <c r="N60" i="23"/>
  <c r="L60" i="23"/>
  <c r="K60" i="23"/>
  <c r="J60" i="23"/>
  <c r="I60" i="23"/>
  <c r="M58" i="23"/>
  <c r="M60" i="23" s="1"/>
  <c r="X57" i="23"/>
  <c r="W57" i="23"/>
  <c r="T57" i="23"/>
  <c r="S57" i="23"/>
  <c r="O57" i="23"/>
  <c r="N57" i="23"/>
  <c r="M57" i="23"/>
  <c r="K57" i="23"/>
  <c r="J57" i="23"/>
  <c r="I57" i="23"/>
  <c r="X53" i="23"/>
  <c r="W53" i="23"/>
  <c r="V53" i="23"/>
  <c r="U53" i="23"/>
  <c r="T53" i="23"/>
  <c r="S53" i="23"/>
  <c r="R53" i="23"/>
  <c r="Q53" i="23"/>
  <c r="P53" i="23"/>
  <c r="O53" i="23"/>
  <c r="M53" i="23"/>
  <c r="L53" i="23"/>
  <c r="K53" i="23"/>
  <c r="J53" i="23"/>
  <c r="I53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J46" i="23"/>
  <c r="I46" i="23"/>
  <c r="K44" i="23"/>
  <c r="K93" i="23" s="1"/>
  <c r="X43" i="23"/>
  <c r="W43" i="23"/>
  <c r="V43" i="23"/>
  <c r="U43" i="23"/>
  <c r="T43" i="23"/>
  <c r="S43" i="23"/>
  <c r="R43" i="23"/>
  <c r="Q43" i="23"/>
  <c r="P43" i="23"/>
  <c r="O43" i="23"/>
  <c r="M43" i="23"/>
  <c r="L43" i="23"/>
  <c r="K43" i="23"/>
  <c r="J39" i="23"/>
  <c r="I39" i="23" s="1"/>
  <c r="I43" i="23" s="1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X29" i="23"/>
  <c r="X68" i="23" s="1"/>
  <c r="U68" i="23" s="1"/>
  <c r="W29" i="23"/>
  <c r="V29" i="23"/>
  <c r="V68" i="23" s="1"/>
  <c r="U29" i="23"/>
  <c r="T29" i="23"/>
  <c r="S29" i="23"/>
  <c r="P29" i="23"/>
  <c r="N29" i="23"/>
  <c r="N68" i="23" s="1"/>
  <c r="M29" i="23"/>
  <c r="L29" i="23"/>
  <c r="L68" i="23" s="1"/>
  <c r="R28" i="23"/>
  <c r="O28" i="23"/>
  <c r="O93" i="23" s="1"/>
  <c r="O106" i="23" s="1"/>
  <c r="K27" i="23"/>
  <c r="J27" i="23"/>
  <c r="Y25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X20" i="23"/>
  <c r="W20" i="23"/>
  <c r="V20" i="23"/>
  <c r="U20" i="23"/>
  <c r="T20" i="23"/>
  <c r="S20" i="23"/>
  <c r="R20" i="23"/>
  <c r="Q20" i="23"/>
  <c r="L20" i="23"/>
  <c r="K20" i="23"/>
  <c r="J20" i="23"/>
  <c r="I20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6" i="23"/>
  <c r="K104" i="23" s="1"/>
  <c r="J16" i="23"/>
  <c r="J104" i="23" s="1"/>
  <c r="I104" i="23" s="1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T306" i="22"/>
  <c r="S306" i="22"/>
  <c r="R306" i="22"/>
  <c r="Q306" i="22"/>
  <c r="L306" i="22"/>
  <c r="K306" i="22"/>
  <c r="J306" i="22"/>
  <c r="I306" i="22"/>
  <c r="T305" i="22"/>
  <c r="S305" i="22"/>
  <c r="R305" i="22"/>
  <c r="Q305" i="22"/>
  <c r="L305" i="22"/>
  <c r="K305" i="22"/>
  <c r="J305" i="22"/>
  <c r="I305" i="22"/>
  <c r="T304" i="22"/>
  <c r="S304" i="22"/>
  <c r="R304" i="22"/>
  <c r="Q304" i="22"/>
  <c r="L304" i="22"/>
  <c r="K304" i="22"/>
  <c r="J304" i="22"/>
  <c r="I304" i="22"/>
  <c r="T302" i="22"/>
  <c r="S302" i="22"/>
  <c r="R302" i="22"/>
  <c r="K302" i="22"/>
  <c r="X297" i="22"/>
  <c r="W297" i="22"/>
  <c r="V297" i="22"/>
  <c r="T297" i="22"/>
  <c r="S297" i="22"/>
  <c r="R297" i="22"/>
  <c r="P297" i="22"/>
  <c r="O297" i="22"/>
  <c r="N297" i="22"/>
  <c r="L297" i="22"/>
  <c r="K297" i="22"/>
  <c r="J297" i="22"/>
  <c r="X296" i="22"/>
  <c r="W296" i="22"/>
  <c r="V296" i="22"/>
  <c r="T296" i="22"/>
  <c r="S296" i="22"/>
  <c r="R296" i="22"/>
  <c r="P296" i="22"/>
  <c r="O296" i="22"/>
  <c r="N296" i="22"/>
  <c r="K296" i="22"/>
  <c r="J296" i="22"/>
  <c r="P295" i="22"/>
  <c r="M295" i="22" s="1"/>
  <c r="X294" i="22"/>
  <c r="W294" i="22"/>
  <c r="V294" i="22"/>
  <c r="T294" i="22"/>
  <c r="S294" i="22"/>
  <c r="R294" i="22"/>
  <c r="P294" i="22"/>
  <c r="O294" i="22"/>
  <c r="N294" i="22"/>
  <c r="L294" i="22"/>
  <c r="K294" i="22"/>
  <c r="J294" i="22"/>
  <c r="X292" i="22"/>
  <c r="W292" i="22"/>
  <c r="V292" i="22"/>
  <c r="T292" i="22"/>
  <c r="S292" i="22"/>
  <c r="R292" i="22"/>
  <c r="P292" i="22"/>
  <c r="O292" i="22"/>
  <c r="N292" i="22"/>
  <c r="L292" i="22"/>
  <c r="K292" i="22"/>
  <c r="J292" i="22"/>
  <c r="U291" i="22"/>
  <c r="X290" i="22"/>
  <c r="W290" i="22"/>
  <c r="V290" i="22"/>
  <c r="T290" i="22"/>
  <c r="S290" i="22"/>
  <c r="R290" i="22"/>
  <c r="P290" i="22"/>
  <c r="O290" i="22"/>
  <c r="N290" i="22"/>
  <c r="L290" i="22"/>
  <c r="K290" i="22"/>
  <c r="J290" i="22"/>
  <c r="X289" i="22"/>
  <c r="W289" i="22"/>
  <c r="V289" i="22"/>
  <c r="T289" i="22"/>
  <c r="S289" i="22"/>
  <c r="R289" i="22"/>
  <c r="P289" i="22"/>
  <c r="O289" i="22"/>
  <c r="N289" i="22"/>
  <c r="L289" i="22"/>
  <c r="K289" i="22"/>
  <c r="J289" i="22"/>
  <c r="X288" i="22"/>
  <c r="W288" i="22"/>
  <c r="V288" i="22"/>
  <c r="T288" i="22"/>
  <c r="S288" i="22"/>
  <c r="R288" i="22"/>
  <c r="P288" i="22"/>
  <c r="O288" i="22"/>
  <c r="N288" i="22"/>
  <c r="K288" i="22"/>
  <c r="J288" i="22"/>
  <c r="X285" i="22"/>
  <c r="W285" i="22"/>
  <c r="V285" i="22"/>
  <c r="T285" i="22"/>
  <c r="S285" i="22"/>
  <c r="R285" i="22"/>
  <c r="P285" i="22"/>
  <c r="O285" i="22"/>
  <c r="N285" i="22"/>
  <c r="K285" i="22"/>
  <c r="X275" i="22"/>
  <c r="W275" i="22"/>
  <c r="V275" i="22"/>
  <c r="T275" i="22"/>
  <c r="S275" i="22"/>
  <c r="R275" i="22"/>
  <c r="P275" i="22"/>
  <c r="O275" i="22"/>
  <c r="N275" i="22"/>
  <c r="K275" i="22"/>
  <c r="J275" i="22"/>
  <c r="M274" i="22"/>
  <c r="I274" i="22"/>
  <c r="M273" i="22"/>
  <c r="U272" i="22"/>
  <c r="Q272" i="22"/>
  <c r="M272" i="22"/>
  <c r="I272" i="22"/>
  <c r="X271" i="22"/>
  <c r="W271" i="22"/>
  <c r="V271" i="22"/>
  <c r="T271" i="22"/>
  <c r="S271" i="22"/>
  <c r="R271" i="22"/>
  <c r="P271" i="22"/>
  <c r="O271" i="22"/>
  <c r="N271" i="22"/>
  <c r="L271" i="22"/>
  <c r="K271" i="22"/>
  <c r="U270" i="22"/>
  <c r="Q270" i="22"/>
  <c r="M270" i="22"/>
  <c r="I270" i="22"/>
  <c r="U269" i="22"/>
  <c r="Q269" i="22"/>
  <c r="M269" i="22"/>
  <c r="I269" i="22"/>
  <c r="M268" i="22"/>
  <c r="I268" i="22"/>
  <c r="I267" i="22"/>
  <c r="I265" i="22"/>
  <c r="U264" i="22"/>
  <c r="Q264" i="22"/>
  <c r="M264" i="22"/>
  <c r="I264" i="22"/>
  <c r="T263" i="22"/>
  <c r="S263" i="22"/>
  <c r="R263" i="22"/>
  <c r="P263" i="22"/>
  <c r="O263" i="22"/>
  <c r="N263" i="22"/>
  <c r="L263" i="22"/>
  <c r="K263" i="22"/>
  <c r="J263" i="22"/>
  <c r="Q262" i="22"/>
  <c r="M262" i="22"/>
  <c r="I262" i="22"/>
  <c r="X261" i="22"/>
  <c r="W261" i="22"/>
  <c r="V261" i="22"/>
  <c r="T261" i="22"/>
  <c r="S261" i="22"/>
  <c r="S303" i="22" s="1"/>
  <c r="R261" i="22"/>
  <c r="R303" i="22" s="1"/>
  <c r="P261" i="22"/>
  <c r="O261" i="22"/>
  <c r="N261" i="22"/>
  <c r="L261" i="22"/>
  <c r="K261" i="22"/>
  <c r="K303" i="22" s="1"/>
  <c r="J261" i="22"/>
  <c r="U260" i="22"/>
  <c r="Q260" i="22"/>
  <c r="M260" i="22"/>
  <c r="I260" i="22"/>
  <c r="U259" i="22"/>
  <c r="Q259" i="22"/>
  <c r="M259" i="22"/>
  <c r="I259" i="22"/>
  <c r="U258" i="22"/>
  <c r="Q258" i="22"/>
  <c r="M258" i="22"/>
  <c r="I258" i="22"/>
  <c r="U257" i="22"/>
  <c r="Q257" i="22"/>
  <c r="M257" i="22"/>
  <c r="I257" i="22"/>
  <c r="U256" i="22"/>
  <c r="Q256" i="22"/>
  <c r="M256" i="22"/>
  <c r="I256" i="22"/>
  <c r="U255" i="22"/>
  <c r="Q255" i="22"/>
  <c r="M255" i="22"/>
  <c r="I255" i="22"/>
  <c r="U254" i="22"/>
  <c r="Q254" i="22"/>
  <c r="M254" i="22"/>
  <c r="I254" i="22"/>
  <c r="U253" i="22"/>
  <c r="Q253" i="22"/>
  <c r="M253" i="22"/>
  <c r="I253" i="22"/>
  <c r="U252" i="22"/>
  <c r="Q252" i="22"/>
  <c r="M252" i="22"/>
  <c r="I252" i="22"/>
  <c r="X249" i="22"/>
  <c r="W249" i="22"/>
  <c r="V249" i="22"/>
  <c r="T249" i="22"/>
  <c r="S249" i="22"/>
  <c r="R249" i="22"/>
  <c r="P249" i="22"/>
  <c r="O249" i="22"/>
  <c r="N249" i="22"/>
  <c r="L249" i="22"/>
  <c r="K249" i="22"/>
  <c r="J249" i="22"/>
  <c r="M248" i="22"/>
  <c r="U247" i="22"/>
  <c r="Q247" i="22"/>
  <c r="M247" i="22"/>
  <c r="I247" i="22"/>
  <c r="X246" i="22"/>
  <c r="W246" i="22"/>
  <c r="V246" i="22"/>
  <c r="T246" i="22"/>
  <c r="S246" i="22"/>
  <c r="R246" i="22"/>
  <c r="P246" i="22"/>
  <c r="O246" i="22"/>
  <c r="N246" i="22"/>
  <c r="L246" i="22"/>
  <c r="K246" i="22"/>
  <c r="J246" i="22"/>
  <c r="U245" i="22"/>
  <c r="Q245" i="22"/>
  <c r="M245" i="22"/>
  <c r="I245" i="22"/>
  <c r="X244" i="22"/>
  <c r="W244" i="22"/>
  <c r="V244" i="22"/>
  <c r="T244" i="22"/>
  <c r="S244" i="22"/>
  <c r="R244" i="22"/>
  <c r="P244" i="22"/>
  <c r="O244" i="22"/>
  <c r="N244" i="22"/>
  <c r="L244" i="22"/>
  <c r="K244" i="22"/>
  <c r="M243" i="22"/>
  <c r="M242" i="22"/>
  <c r="U241" i="22"/>
  <c r="Q241" i="22"/>
  <c r="M241" i="22"/>
  <c r="J244" i="22"/>
  <c r="X238" i="22"/>
  <c r="X239" i="22" s="1"/>
  <c r="W238" i="22"/>
  <c r="W239" i="22" s="1"/>
  <c r="V238" i="22"/>
  <c r="V239" i="22" s="1"/>
  <c r="T238" i="22"/>
  <c r="T239" i="22" s="1"/>
  <c r="S238" i="22"/>
  <c r="S239" i="22" s="1"/>
  <c r="R238" i="22"/>
  <c r="R239" i="22" s="1"/>
  <c r="P238" i="22"/>
  <c r="P239" i="22" s="1"/>
  <c r="O238" i="22"/>
  <c r="O239" i="22" s="1"/>
  <c r="N238" i="22"/>
  <c r="N239" i="22" s="1"/>
  <c r="L238" i="22"/>
  <c r="L239" i="22" s="1"/>
  <c r="K238" i="22"/>
  <c r="K239" i="22" s="1"/>
  <c r="J238" i="22"/>
  <c r="J239" i="22" s="1"/>
  <c r="U237" i="22"/>
  <c r="Q237" i="22"/>
  <c r="M237" i="22"/>
  <c r="I237" i="22"/>
  <c r="X232" i="22"/>
  <c r="W232" i="22"/>
  <c r="V232" i="22"/>
  <c r="T232" i="22"/>
  <c r="S232" i="22"/>
  <c r="R232" i="22"/>
  <c r="P232" i="22"/>
  <c r="O232" i="22"/>
  <c r="N232" i="22"/>
  <c r="L232" i="22"/>
  <c r="K232" i="22"/>
  <c r="U231" i="22"/>
  <c r="Q231" i="22"/>
  <c r="M231" i="22"/>
  <c r="I231" i="22"/>
  <c r="X230" i="22"/>
  <c r="W230" i="22"/>
  <c r="V230" i="22"/>
  <c r="T230" i="22"/>
  <c r="S230" i="22"/>
  <c r="R230" i="22"/>
  <c r="P230" i="22"/>
  <c r="O230" i="22"/>
  <c r="N230" i="22"/>
  <c r="L230" i="22"/>
  <c r="K230" i="22"/>
  <c r="U229" i="22"/>
  <c r="Q229" i="22"/>
  <c r="M229" i="22"/>
  <c r="X228" i="22"/>
  <c r="W228" i="22"/>
  <c r="V228" i="22"/>
  <c r="T228" i="22"/>
  <c r="S228" i="22"/>
  <c r="R228" i="22"/>
  <c r="P228" i="22"/>
  <c r="O228" i="22"/>
  <c r="N228" i="22"/>
  <c r="L228" i="22"/>
  <c r="K228" i="22"/>
  <c r="U227" i="22"/>
  <c r="Q227" i="22"/>
  <c r="M227" i="22"/>
  <c r="I227" i="22"/>
  <c r="X226" i="22"/>
  <c r="W226" i="22"/>
  <c r="V226" i="22"/>
  <c r="T226" i="22"/>
  <c r="S226" i="22"/>
  <c r="R226" i="22"/>
  <c r="P226" i="22"/>
  <c r="O226" i="22"/>
  <c r="N226" i="22"/>
  <c r="L226" i="22"/>
  <c r="K226" i="22"/>
  <c r="U225" i="22"/>
  <c r="Q225" i="22"/>
  <c r="M225" i="22"/>
  <c r="X224" i="22"/>
  <c r="W224" i="22"/>
  <c r="V224" i="22"/>
  <c r="T224" i="22"/>
  <c r="S224" i="22"/>
  <c r="R224" i="22"/>
  <c r="P224" i="22"/>
  <c r="O224" i="22"/>
  <c r="N224" i="22"/>
  <c r="L224" i="22"/>
  <c r="K224" i="22"/>
  <c r="U223" i="22"/>
  <c r="Q223" i="22"/>
  <c r="M223" i="22"/>
  <c r="I223" i="22"/>
  <c r="X222" i="22"/>
  <c r="W222" i="22"/>
  <c r="V222" i="22"/>
  <c r="T222" i="22"/>
  <c r="S222" i="22"/>
  <c r="R222" i="22"/>
  <c r="P222" i="22"/>
  <c r="O222" i="22"/>
  <c r="N222" i="22"/>
  <c r="L222" i="22"/>
  <c r="K222" i="22"/>
  <c r="U221" i="22"/>
  <c r="Q221" i="22"/>
  <c r="M221" i="22"/>
  <c r="X220" i="22"/>
  <c r="W220" i="22"/>
  <c r="V220" i="22"/>
  <c r="T220" i="22"/>
  <c r="S220" i="22"/>
  <c r="R220" i="22"/>
  <c r="P220" i="22"/>
  <c r="O220" i="22"/>
  <c r="N220" i="22"/>
  <c r="L220" i="22"/>
  <c r="K220" i="22"/>
  <c r="U219" i="22"/>
  <c r="Q219" i="22"/>
  <c r="M219" i="22"/>
  <c r="I219" i="22"/>
  <c r="X218" i="22"/>
  <c r="W218" i="22"/>
  <c r="V218" i="22"/>
  <c r="T218" i="22"/>
  <c r="S218" i="22"/>
  <c r="R218" i="22"/>
  <c r="P218" i="22"/>
  <c r="O218" i="22"/>
  <c r="N218" i="22"/>
  <c r="L218" i="22"/>
  <c r="K218" i="22"/>
  <c r="U217" i="22"/>
  <c r="Q217" i="22"/>
  <c r="M217" i="22"/>
  <c r="X216" i="22"/>
  <c r="W216" i="22"/>
  <c r="V216" i="22"/>
  <c r="T216" i="22"/>
  <c r="S216" i="22"/>
  <c r="R216" i="22"/>
  <c r="P216" i="22"/>
  <c r="O216" i="22"/>
  <c r="N216" i="22"/>
  <c r="L216" i="22"/>
  <c r="K216" i="22"/>
  <c r="U215" i="22"/>
  <c r="Q215" i="22"/>
  <c r="M215" i="22"/>
  <c r="I215" i="22"/>
  <c r="X214" i="22"/>
  <c r="W214" i="22"/>
  <c r="V214" i="22"/>
  <c r="T214" i="22"/>
  <c r="S214" i="22"/>
  <c r="R214" i="22"/>
  <c r="P214" i="22"/>
  <c r="O214" i="22"/>
  <c r="N214" i="22"/>
  <c r="L214" i="22"/>
  <c r="K214" i="22"/>
  <c r="U213" i="22"/>
  <c r="Q213" i="22"/>
  <c r="M213" i="22"/>
  <c r="I213" i="22"/>
  <c r="X212" i="22"/>
  <c r="W212" i="22"/>
  <c r="V212" i="22"/>
  <c r="T212" i="22"/>
  <c r="S212" i="22"/>
  <c r="R212" i="22"/>
  <c r="P212" i="22"/>
  <c r="O212" i="22"/>
  <c r="N212" i="22"/>
  <c r="L212" i="22"/>
  <c r="K212" i="22"/>
  <c r="U211" i="22"/>
  <c r="Q211" i="22"/>
  <c r="M211" i="22"/>
  <c r="X208" i="22"/>
  <c r="W208" i="22"/>
  <c r="V208" i="22"/>
  <c r="T208" i="22"/>
  <c r="S208" i="22"/>
  <c r="R208" i="22"/>
  <c r="P208" i="22"/>
  <c r="O208" i="22"/>
  <c r="N208" i="22"/>
  <c r="L208" i="22"/>
  <c r="K208" i="22"/>
  <c r="J208" i="22"/>
  <c r="Q207" i="22"/>
  <c r="M207" i="22"/>
  <c r="I207" i="22"/>
  <c r="Q206" i="22"/>
  <c r="M206" i="22"/>
  <c r="I206" i="22"/>
  <c r="X205" i="22"/>
  <c r="W205" i="22"/>
  <c r="V205" i="22"/>
  <c r="T205" i="22"/>
  <c r="S205" i="22"/>
  <c r="R205" i="22"/>
  <c r="P205" i="22"/>
  <c r="O205" i="22"/>
  <c r="N205" i="22"/>
  <c r="M204" i="22"/>
  <c r="I204" i="22"/>
  <c r="M203" i="22"/>
  <c r="I203" i="22"/>
  <c r="M202" i="22"/>
  <c r="I202" i="22"/>
  <c r="X201" i="22"/>
  <c r="W201" i="22"/>
  <c r="V201" i="22"/>
  <c r="T201" i="22"/>
  <c r="S201" i="22"/>
  <c r="R201" i="22"/>
  <c r="P201" i="22"/>
  <c r="O201" i="22"/>
  <c r="N201" i="22"/>
  <c r="U200" i="22"/>
  <c r="Q200" i="22"/>
  <c r="M200" i="22"/>
  <c r="I200" i="22"/>
  <c r="X199" i="22"/>
  <c r="W199" i="22"/>
  <c r="V199" i="22"/>
  <c r="T199" i="22"/>
  <c r="S199" i="22"/>
  <c r="R199" i="22"/>
  <c r="P199" i="22"/>
  <c r="O199" i="22"/>
  <c r="N199" i="22"/>
  <c r="U198" i="22"/>
  <c r="Q198" i="22"/>
  <c r="M198" i="22"/>
  <c r="I198" i="22"/>
  <c r="X194" i="22"/>
  <c r="W194" i="22"/>
  <c r="V194" i="22"/>
  <c r="T194" i="22"/>
  <c r="S194" i="22"/>
  <c r="R194" i="22"/>
  <c r="P194" i="22"/>
  <c r="O194" i="22"/>
  <c r="N194" i="22"/>
  <c r="L193" i="22"/>
  <c r="K193" i="22"/>
  <c r="K194" i="22" s="1"/>
  <c r="J193" i="22"/>
  <c r="J194" i="22" s="1"/>
  <c r="I192" i="22"/>
  <c r="X189" i="22"/>
  <c r="W189" i="22"/>
  <c r="V189" i="22"/>
  <c r="T189" i="22"/>
  <c r="S189" i="22"/>
  <c r="R189" i="22"/>
  <c r="P189" i="22"/>
  <c r="O189" i="22"/>
  <c r="N189" i="22"/>
  <c r="L189" i="22"/>
  <c r="K189" i="22"/>
  <c r="J189" i="22"/>
  <c r="U188" i="22"/>
  <c r="Q188" i="22"/>
  <c r="M188" i="22"/>
  <c r="I188" i="22"/>
  <c r="X187" i="22"/>
  <c r="W187" i="22"/>
  <c r="V187" i="22"/>
  <c r="T187" i="22"/>
  <c r="S187" i="22"/>
  <c r="R187" i="22"/>
  <c r="P187" i="22"/>
  <c r="O187" i="22"/>
  <c r="N187" i="22"/>
  <c r="L187" i="22"/>
  <c r="K187" i="22"/>
  <c r="U186" i="22"/>
  <c r="Q186" i="22"/>
  <c r="M186" i="22"/>
  <c r="I186" i="22"/>
  <c r="X185" i="22"/>
  <c r="W185" i="22"/>
  <c r="V185" i="22"/>
  <c r="T185" i="22"/>
  <c r="S185" i="22"/>
  <c r="R185" i="22"/>
  <c r="P185" i="22"/>
  <c r="O185" i="22"/>
  <c r="N185" i="22"/>
  <c r="L185" i="22"/>
  <c r="K185" i="22"/>
  <c r="J185" i="22"/>
  <c r="U184" i="22"/>
  <c r="Q184" i="22"/>
  <c r="M184" i="22"/>
  <c r="I184" i="22"/>
  <c r="X181" i="22"/>
  <c r="W181" i="22"/>
  <c r="V181" i="22"/>
  <c r="T181" i="22"/>
  <c r="S181" i="22"/>
  <c r="R181" i="22"/>
  <c r="P181" i="22"/>
  <c r="O181" i="22"/>
  <c r="N181" i="22"/>
  <c r="L181" i="22"/>
  <c r="K181" i="22"/>
  <c r="J181" i="22"/>
  <c r="X180" i="22"/>
  <c r="W180" i="22"/>
  <c r="V180" i="22"/>
  <c r="T180" i="22"/>
  <c r="S180" i="22"/>
  <c r="R180" i="22"/>
  <c r="P180" i="22"/>
  <c r="O180" i="22"/>
  <c r="N180" i="22"/>
  <c r="K180" i="22"/>
  <c r="J180" i="22"/>
  <c r="X179" i="22"/>
  <c r="W179" i="22"/>
  <c r="V179" i="22"/>
  <c r="T179" i="22"/>
  <c r="S179" i="22"/>
  <c r="R179" i="22"/>
  <c r="P179" i="22"/>
  <c r="O179" i="22"/>
  <c r="N179" i="22"/>
  <c r="L179" i="22"/>
  <c r="K179" i="22"/>
  <c r="J179" i="22"/>
  <c r="X178" i="22"/>
  <c r="W178" i="22"/>
  <c r="V178" i="22"/>
  <c r="T178" i="22"/>
  <c r="S178" i="22"/>
  <c r="R178" i="22"/>
  <c r="P178" i="22"/>
  <c r="O178" i="22"/>
  <c r="N178" i="22"/>
  <c r="K178" i="22"/>
  <c r="J178" i="22"/>
  <c r="M177" i="22"/>
  <c r="I177" i="22"/>
  <c r="M176" i="22"/>
  <c r="L176" i="22"/>
  <c r="I176" i="22" s="1"/>
  <c r="M175" i="22"/>
  <c r="I175" i="22"/>
  <c r="X174" i="22"/>
  <c r="W174" i="22"/>
  <c r="V174" i="22"/>
  <c r="T174" i="22"/>
  <c r="S174" i="22"/>
  <c r="R174" i="22"/>
  <c r="P174" i="22"/>
  <c r="O174" i="22"/>
  <c r="N174" i="22"/>
  <c r="L174" i="22"/>
  <c r="K174" i="22"/>
  <c r="J174" i="22"/>
  <c r="M173" i="22"/>
  <c r="T172" i="22"/>
  <c r="S172" i="22"/>
  <c r="R172" i="22"/>
  <c r="P172" i="22"/>
  <c r="O172" i="22"/>
  <c r="N172" i="22"/>
  <c r="L172" i="22"/>
  <c r="K172" i="22"/>
  <c r="J172" i="22"/>
  <c r="Q171" i="22"/>
  <c r="M171" i="22"/>
  <c r="I171" i="22"/>
  <c r="P168" i="22"/>
  <c r="M168" i="22" s="1"/>
  <c r="P167" i="22"/>
  <c r="M167" i="22" s="1"/>
  <c r="X166" i="22"/>
  <c r="W166" i="22"/>
  <c r="V166" i="22"/>
  <c r="T166" i="22"/>
  <c r="S166" i="22"/>
  <c r="R166" i="22"/>
  <c r="P166" i="22"/>
  <c r="O166" i="22"/>
  <c r="N166" i="22"/>
  <c r="K166" i="22"/>
  <c r="X165" i="22"/>
  <c r="W165" i="22"/>
  <c r="V165" i="22"/>
  <c r="T165" i="22"/>
  <c r="S165" i="22"/>
  <c r="R165" i="22"/>
  <c r="O165" i="22"/>
  <c r="N165" i="22"/>
  <c r="L165" i="22"/>
  <c r="K165" i="22"/>
  <c r="J165" i="22"/>
  <c r="X164" i="22"/>
  <c r="W164" i="22"/>
  <c r="V164" i="22"/>
  <c r="T164" i="22"/>
  <c r="S164" i="22"/>
  <c r="R164" i="22"/>
  <c r="P164" i="22"/>
  <c r="O164" i="22"/>
  <c r="N164" i="22"/>
  <c r="L164" i="22"/>
  <c r="K164" i="22"/>
  <c r="J164" i="22"/>
  <c r="U163" i="22"/>
  <c r="Q163" i="22"/>
  <c r="M163" i="22"/>
  <c r="I163" i="22"/>
  <c r="X162" i="22"/>
  <c r="W162" i="22"/>
  <c r="V162" i="22"/>
  <c r="T162" i="22"/>
  <c r="S162" i="22"/>
  <c r="R162" i="22"/>
  <c r="P162" i="22"/>
  <c r="O162" i="22"/>
  <c r="N162" i="22"/>
  <c r="L162" i="22"/>
  <c r="K162" i="22"/>
  <c r="J162" i="22"/>
  <c r="U161" i="22"/>
  <c r="Q161" i="22"/>
  <c r="M161" i="22"/>
  <c r="I161" i="22"/>
  <c r="X160" i="22"/>
  <c r="U160" i="22" s="1"/>
  <c r="T160" i="22"/>
  <c r="Q160" i="22" s="1"/>
  <c r="P160" i="22"/>
  <c r="M160" i="22" s="1"/>
  <c r="L160" i="22"/>
  <c r="I160" i="22" s="1"/>
  <c r="I158" i="22"/>
  <c r="X156" i="22"/>
  <c r="W156" i="22"/>
  <c r="V156" i="22"/>
  <c r="T156" i="22"/>
  <c r="S156" i="22"/>
  <c r="R156" i="22"/>
  <c r="P156" i="22"/>
  <c r="O156" i="22"/>
  <c r="N156" i="22"/>
  <c r="L156" i="22"/>
  <c r="K156" i="22"/>
  <c r="J156" i="22"/>
  <c r="U155" i="22"/>
  <c r="Q155" i="22"/>
  <c r="M155" i="22"/>
  <c r="I155" i="22"/>
  <c r="U154" i="22"/>
  <c r="Q154" i="22"/>
  <c r="M154" i="22"/>
  <c r="I154" i="22"/>
  <c r="X153" i="22"/>
  <c r="W153" i="22"/>
  <c r="V153" i="22"/>
  <c r="T153" i="22"/>
  <c r="S153" i="22"/>
  <c r="R153" i="22"/>
  <c r="P153" i="22"/>
  <c r="O153" i="22"/>
  <c r="N153" i="22"/>
  <c r="L153" i="22"/>
  <c r="K153" i="22"/>
  <c r="J153" i="22"/>
  <c r="U152" i="22"/>
  <c r="Q152" i="22"/>
  <c r="M152" i="22"/>
  <c r="I152" i="22"/>
  <c r="I151" i="22"/>
  <c r="I150" i="22"/>
  <c r="X149" i="22"/>
  <c r="W149" i="22"/>
  <c r="V149" i="22"/>
  <c r="T149" i="22"/>
  <c r="S149" i="22"/>
  <c r="R149" i="22"/>
  <c r="O149" i="22"/>
  <c r="N149" i="22"/>
  <c r="L149" i="22"/>
  <c r="K149" i="22"/>
  <c r="J149" i="22"/>
  <c r="U148" i="22"/>
  <c r="Q148" i="22"/>
  <c r="M148" i="22"/>
  <c r="I148" i="22"/>
  <c r="M147" i="22"/>
  <c r="M146" i="22"/>
  <c r="I146" i="22"/>
  <c r="U145" i="22"/>
  <c r="Q145" i="22"/>
  <c r="P145" i="22"/>
  <c r="P284" i="22" s="1"/>
  <c r="I145" i="22"/>
  <c r="X144" i="22"/>
  <c r="W144" i="22"/>
  <c r="V144" i="22"/>
  <c r="T144" i="22"/>
  <c r="S144" i="22"/>
  <c r="R144" i="22"/>
  <c r="P144" i="22"/>
  <c r="O144" i="22"/>
  <c r="N144" i="22"/>
  <c r="K144" i="22"/>
  <c r="U143" i="22"/>
  <c r="Q143" i="22"/>
  <c r="M143" i="22"/>
  <c r="I143" i="22"/>
  <c r="M142" i="22"/>
  <c r="M141" i="22"/>
  <c r="U140" i="22"/>
  <c r="Q140" i="22"/>
  <c r="M140" i="22"/>
  <c r="L144" i="22"/>
  <c r="J144" i="22"/>
  <c r="X139" i="22"/>
  <c r="W139" i="22"/>
  <c r="V139" i="22"/>
  <c r="T139" i="22"/>
  <c r="S139" i="22"/>
  <c r="R139" i="22"/>
  <c r="P139" i="22"/>
  <c r="O139" i="22"/>
  <c r="N139" i="22"/>
  <c r="K139" i="22"/>
  <c r="J139" i="22"/>
  <c r="L136" i="22"/>
  <c r="L139" i="22" s="1"/>
  <c r="X135" i="22"/>
  <c r="W135" i="22"/>
  <c r="V135" i="22"/>
  <c r="T135" i="22"/>
  <c r="S135" i="22"/>
  <c r="R135" i="22"/>
  <c r="P135" i="22"/>
  <c r="O135" i="22"/>
  <c r="N135" i="22"/>
  <c r="L135" i="22"/>
  <c r="K135" i="22"/>
  <c r="J135" i="22"/>
  <c r="M134" i="22"/>
  <c r="M133" i="22"/>
  <c r="X130" i="22"/>
  <c r="W130" i="22"/>
  <c r="V130" i="22"/>
  <c r="T130" i="22"/>
  <c r="S130" i="22"/>
  <c r="R130" i="22"/>
  <c r="O130" i="22"/>
  <c r="N130" i="22"/>
  <c r="M130" i="22" s="1"/>
  <c r="K130" i="22"/>
  <c r="J130" i="22"/>
  <c r="P129" i="22"/>
  <c r="M129" i="22" s="1"/>
  <c r="P128" i="22"/>
  <c r="N128" i="22"/>
  <c r="X127" i="22"/>
  <c r="W127" i="22"/>
  <c r="V127" i="22"/>
  <c r="T127" i="22"/>
  <c r="S127" i="22"/>
  <c r="R127" i="22"/>
  <c r="P127" i="22"/>
  <c r="O127" i="22"/>
  <c r="N127" i="22"/>
  <c r="K127" i="22"/>
  <c r="J127" i="22"/>
  <c r="X126" i="22"/>
  <c r="W126" i="22"/>
  <c r="V126" i="22"/>
  <c r="T126" i="22"/>
  <c r="S126" i="22"/>
  <c r="R126" i="22"/>
  <c r="P126" i="22"/>
  <c r="O126" i="22"/>
  <c r="N126" i="22"/>
  <c r="L126" i="22"/>
  <c r="K126" i="22"/>
  <c r="J126" i="22"/>
  <c r="X125" i="22"/>
  <c r="W125" i="22"/>
  <c r="V125" i="22"/>
  <c r="T125" i="22"/>
  <c r="S125" i="22"/>
  <c r="R125" i="22"/>
  <c r="P125" i="22"/>
  <c r="O125" i="22"/>
  <c r="N125" i="22"/>
  <c r="L125" i="22"/>
  <c r="K125" i="22"/>
  <c r="J125" i="22"/>
  <c r="X124" i="22"/>
  <c r="W124" i="22"/>
  <c r="V124" i="22"/>
  <c r="T124" i="22"/>
  <c r="S124" i="22"/>
  <c r="R124" i="22"/>
  <c r="P124" i="22"/>
  <c r="O124" i="22"/>
  <c r="N124" i="22"/>
  <c r="K124" i="22"/>
  <c r="J124" i="22"/>
  <c r="X123" i="22"/>
  <c r="W123" i="22"/>
  <c r="V123" i="22"/>
  <c r="T123" i="22"/>
  <c r="S123" i="22"/>
  <c r="R123" i="22"/>
  <c r="O123" i="22"/>
  <c r="N123" i="22"/>
  <c r="K123" i="22"/>
  <c r="J123" i="22"/>
  <c r="U120" i="22"/>
  <c r="Q120" i="22"/>
  <c r="M120" i="22"/>
  <c r="L120" i="22"/>
  <c r="U119" i="22"/>
  <c r="Q119" i="22"/>
  <c r="M119" i="22"/>
  <c r="I119" i="22"/>
  <c r="U118" i="22"/>
  <c r="Q118" i="22"/>
  <c r="M118" i="22"/>
  <c r="I118" i="22"/>
  <c r="X117" i="22"/>
  <c r="W117" i="22"/>
  <c r="V117" i="22"/>
  <c r="T117" i="22"/>
  <c r="S117" i="22"/>
  <c r="R117" i="22"/>
  <c r="P117" i="22"/>
  <c r="O117" i="22"/>
  <c r="N117" i="22"/>
  <c r="K117" i="22"/>
  <c r="J117" i="22"/>
  <c r="U116" i="22"/>
  <c r="Q116" i="22"/>
  <c r="M116" i="22"/>
  <c r="I116" i="22"/>
  <c r="U115" i="22"/>
  <c r="Q115" i="22"/>
  <c r="M115" i="22"/>
  <c r="X114" i="22"/>
  <c r="W114" i="22"/>
  <c r="V114" i="22"/>
  <c r="T114" i="22"/>
  <c r="S114" i="22"/>
  <c r="R114" i="22"/>
  <c r="P114" i="22"/>
  <c r="O114" i="22"/>
  <c r="N114" i="22"/>
  <c r="K114" i="22"/>
  <c r="J114" i="22"/>
  <c r="M113" i="22"/>
  <c r="I113" i="22"/>
  <c r="M112" i="22"/>
  <c r="L114" i="22"/>
  <c r="T109" i="22"/>
  <c r="S109" i="22"/>
  <c r="R109" i="22"/>
  <c r="P109" i="22"/>
  <c r="O109" i="22"/>
  <c r="N109" i="22"/>
  <c r="L109" i="22"/>
  <c r="K109" i="22"/>
  <c r="J109" i="22"/>
  <c r="Q108" i="22"/>
  <c r="M108" i="22"/>
  <c r="I108" i="22"/>
  <c r="X107" i="22"/>
  <c r="W107" i="22"/>
  <c r="V107" i="22"/>
  <c r="T107" i="22"/>
  <c r="S107" i="22"/>
  <c r="R107" i="22"/>
  <c r="P107" i="22"/>
  <c r="O107" i="22"/>
  <c r="N107" i="22"/>
  <c r="K107" i="22"/>
  <c r="J107" i="22"/>
  <c r="L288" i="22"/>
  <c r="I104" i="22"/>
  <c r="X103" i="22"/>
  <c r="W103" i="22"/>
  <c r="V103" i="22"/>
  <c r="T103" i="22"/>
  <c r="S103" i="22"/>
  <c r="R103" i="22"/>
  <c r="P103" i="22"/>
  <c r="O103" i="22"/>
  <c r="N103" i="22"/>
  <c r="L103" i="22"/>
  <c r="K103" i="22"/>
  <c r="J103" i="22"/>
  <c r="M102" i="22"/>
  <c r="I102" i="22"/>
  <c r="M101" i="22"/>
  <c r="I101" i="22"/>
  <c r="X100" i="22"/>
  <c r="W100" i="22"/>
  <c r="V100" i="22"/>
  <c r="T100" i="22"/>
  <c r="S100" i="22"/>
  <c r="R100" i="22"/>
  <c r="P100" i="22"/>
  <c r="O100" i="22"/>
  <c r="N100" i="22"/>
  <c r="L100" i="22"/>
  <c r="K100" i="22"/>
  <c r="J100" i="22"/>
  <c r="M99" i="22"/>
  <c r="I99" i="22"/>
  <c r="M98" i="22"/>
  <c r="M96" i="22"/>
  <c r="I96" i="22"/>
  <c r="X95" i="22"/>
  <c r="W95" i="22"/>
  <c r="V95" i="22"/>
  <c r="T95" i="22"/>
  <c r="S95" i="22"/>
  <c r="R95" i="22"/>
  <c r="P95" i="22"/>
  <c r="O95" i="22"/>
  <c r="N95" i="22"/>
  <c r="L95" i="22"/>
  <c r="K95" i="22"/>
  <c r="J95" i="22"/>
  <c r="U94" i="22"/>
  <c r="Q94" i="22"/>
  <c r="M94" i="22"/>
  <c r="I94" i="22"/>
  <c r="X93" i="22"/>
  <c r="W93" i="22"/>
  <c r="V93" i="22"/>
  <c r="T93" i="22"/>
  <c r="S93" i="22"/>
  <c r="R93" i="22"/>
  <c r="P93" i="22"/>
  <c r="O93" i="22"/>
  <c r="N93" i="22"/>
  <c r="K93" i="22"/>
  <c r="J93" i="22"/>
  <c r="M92" i="22"/>
  <c r="M91" i="22"/>
  <c r="L93" i="22"/>
  <c r="X90" i="22"/>
  <c r="W90" i="22"/>
  <c r="V90" i="22"/>
  <c r="T90" i="22"/>
  <c r="S90" i="22"/>
  <c r="R90" i="22"/>
  <c r="P90" i="22"/>
  <c r="O90" i="22"/>
  <c r="N90" i="22"/>
  <c r="L90" i="22"/>
  <c r="K90" i="22"/>
  <c r="J90" i="22"/>
  <c r="U89" i="22"/>
  <c r="Q89" i="22"/>
  <c r="M89" i="22"/>
  <c r="I89" i="22"/>
  <c r="M88" i="22"/>
  <c r="U87" i="22"/>
  <c r="Q87" i="22"/>
  <c r="M87" i="22"/>
  <c r="I87" i="22"/>
  <c r="X86" i="22"/>
  <c r="W86" i="22"/>
  <c r="V86" i="22"/>
  <c r="T86" i="22"/>
  <c r="S86" i="22"/>
  <c r="R86" i="22"/>
  <c r="P86" i="22"/>
  <c r="O86" i="22"/>
  <c r="N86" i="22"/>
  <c r="K86" i="22"/>
  <c r="J86" i="22"/>
  <c r="U85" i="22"/>
  <c r="Q85" i="22"/>
  <c r="M85" i="22"/>
  <c r="I85" i="22"/>
  <c r="M84" i="22"/>
  <c r="M83" i="22"/>
  <c r="I83" i="22"/>
  <c r="U82" i="22"/>
  <c r="Q82" i="22"/>
  <c r="M82" i="22"/>
  <c r="U81" i="22"/>
  <c r="M79" i="22"/>
  <c r="M78" i="22"/>
  <c r="U77" i="22"/>
  <c r="Q77" i="22"/>
  <c r="M77" i="22"/>
  <c r="I77" i="22"/>
  <c r="U76" i="22"/>
  <c r="Q76" i="22"/>
  <c r="X75" i="22"/>
  <c r="W75" i="22"/>
  <c r="V75" i="22"/>
  <c r="T75" i="22"/>
  <c r="S75" i="22"/>
  <c r="R75" i="22"/>
  <c r="P75" i="22"/>
  <c r="O75" i="22"/>
  <c r="N75" i="22"/>
  <c r="L75" i="22"/>
  <c r="K75" i="22"/>
  <c r="J75" i="22"/>
  <c r="I74" i="22"/>
  <c r="X73" i="22"/>
  <c r="W73" i="22"/>
  <c r="V73" i="22"/>
  <c r="T73" i="22"/>
  <c r="S73" i="22"/>
  <c r="R73" i="22"/>
  <c r="P73" i="22"/>
  <c r="O73" i="22"/>
  <c r="N73" i="22"/>
  <c r="K73" i="22"/>
  <c r="J73" i="22"/>
  <c r="L72" i="22"/>
  <c r="I72" i="22" s="1"/>
  <c r="U71" i="22"/>
  <c r="Q71" i="22"/>
  <c r="M71" i="22"/>
  <c r="I71" i="22"/>
  <c r="U70" i="22"/>
  <c r="Q70" i="22"/>
  <c r="M70" i="22"/>
  <c r="I70" i="22"/>
  <c r="X69" i="22"/>
  <c r="W69" i="22"/>
  <c r="V69" i="22"/>
  <c r="T69" i="22"/>
  <c r="S69" i="22"/>
  <c r="R69" i="22"/>
  <c r="P69" i="22"/>
  <c r="O69" i="22"/>
  <c r="N69" i="22"/>
  <c r="K69" i="22"/>
  <c r="J69" i="22"/>
  <c r="M68" i="22"/>
  <c r="I68" i="22"/>
  <c r="M67" i="22"/>
  <c r="L69" i="22"/>
  <c r="M66" i="22"/>
  <c r="M65" i="22"/>
  <c r="I65" i="22"/>
  <c r="N62" i="22"/>
  <c r="M62" i="22" s="1"/>
  <c r="X61" i="22"/>
  <c r="W61" i="22"/>
  <c r="V61" i="22"/>
  <c r="T61" i="22"/>
  <c r="S61" i="22"/>
  <c r="R61" i="22"/>
  <c r="P61" i="22"/>
  <c r="O61" i="22"/>
  <c r="N61" i="22"/>
  <c r="L61" i="22"/>
  <c r="K61" i="22"/>
  <c r="J61" i="22"/>
  <c r="X60" i="22"/>
  <c r="V60" i="22"/>
  <c r="T60" i="22"/>
  <c r="R60" i="22"/>
  <c r="P60" i="22"/>
  <c r="N60" i="22"/>
  <c r="L60" i="22"/>
  <c r="J60" i="22"/>
  <c r="X59" i="22"/>
  <c r="W59" i="22"/>
  <c r="V59" i="22"/>
  <c r="T59" i="22"/>
  <c r="S59" i="22"/>
  <c r="R59" i="22"/>
  <c r="P59" i="22"/>
  <c r="O59" i="22"/>
  <c r="N59" i="22"/>
  <c r="L59" i="22"/>
  <c r="K59" i="22"/>
  <c r="J59" i="22"/>
  <c r="M58" i="22"/>
  <c r="U57" i="22"/>
  <c r="Q57" i="22"/>
  <c r="M57" i="22"/>
  <c r="I57" i="22"/>
  <c r="X56" i="22"/>
  <c r="W56" i="22"/>
  <c r="V56" i="22"/>
  <c r="T56" i="22"/>
  <c r="S56" i="22"/>
  <c r="R56" i="22"/>
  <c r="P56" i="22"/>
  <c r="O56" i="22"/>
  <c r="N56" i="22"/>
  <c r="L56" i="22"/>
  <c r="K56" i="22"/>
  <c r="J56" i="22"/>
  <c r="U55" i="22"/>
  <c r="Q55" i="22"/>
  <c r="M55" i="22"/>
  <c r="U54" i="22"/>
  <c r="Q54" i="22"/>
  <c r="M54" i="22"/>
  <c r="X51" i="22"/>
  <c r="W51" i="22"/>
  <c r="V51" i="22"/>
  <c r="T51" i="22"/>
  <c r="S51" i="22"/>
  <c r="R51" i="22"/>
  <c r="P51" i="22"/>
  <c r="O51" i="22"/>
  <c r="N51" i="22"/>
  <c r="L51" i="22"/>
  <c r="K51" i="22"/>
  <c r="J51" i="22"/>
  <c r="X50" i="22"/>
  <c r="W50" i="22"/>
  <c r="V50" i="22"/>
  <c r="T50" i="22"/>
  <c r="S50" i="22"/>
  <c r="R50" i="22"/>
  <c r="P50" i="22"/>
  <c r="O50" i="22"/>
  <c r="N50" i="22"/>
  <c r="L50" i="22"/>
  <c r="K50" i="22"/>
  <c r="X49" i="22"/>
  <c r="W49" i="22"/>
  <c r="V49" i="22"/>
  <c r="T49" i="22"/>
  <c r="S49" i="22"/>
  <c r="R49" i="22"/>
  <c r="P49" i="22"/>
  <c r="O49" i="22"/>
  <c r="N49" i="22"/>
  <c r="L49" i="22"/>
  <c r="K49" i="22"/>
  <c r="J49" i="22"/>
  <c r="U48" i="22"/>
  <c r="Q48" i="22"/>
  <c r="M48" i="22"/>
  <c r="I48" i="22"/>
  <c r="X47" i="22"/>
  <c r="W47" i="22"/>
  <c r="V47" i="22"/>
  <c r="T47" i="22"/>
  <c r="S47" i="22"/>
  <c r="R47" i="22"/>
  <c r="P47" i="22"/>
  <c r="O47" i="22"/>
  <c r="N47" i="22"/>
  <c r="L47" i="22"/>
  <c r="K47" i="22"/>
  <c r="J47" i="22"/>
  <c r="U46" i="22"/>
  <c r="Q46" i="22"/>
  <c r="M46" i="22"/>
  <c r="I46" i="22"/>
  <c r="X45" i="22"/>
  <c r="W45" i="22"/>
  <c r="V45" i="22"/>
  <c r="T45" i="22"/>
  <c r="S45" i="22"/>
  <c r="R45" i="22"/>
  <c r="P45" i="22"/>
  <c r="O45" i="22"/>
  <c r="N45" i="22"/>
  <c r="L45" i="22"/>
  <c r="K45" i="22"/>
  <c r="M44" i="22"/>
  <c r="U43" i="22"/>
  <c r="Q43" i="22"/>
  <c r="M43" i="22"/>
  <c r="I43" i="22"/>
  <c r="X42" i="22"/>
  <c r="W42" i="22"/>
  <c r="V42" i="22"/>
  <c r="T42" i="22"/>
  <c r="S42" i="22"/>
  <c r="R42" i="22"/>
  <c r="P42" i="22"/>
  <c r="O42" i="22"/>
  <c r="N42" i="22"/>
  <c r="L42" i="22"/>
  <c r="K42" i="22"/>
  <c r="M41" i="22"/>
  <c r="U40" i="22"/>
  <c r="Q40" i="22"/>
  <c r="M40" i="22"/>
  <c r="J40" i="22"/>
  <c r="J42" i="22" s="1"/>
  <c r="X39" i="22"/>
  <c r="W39" i="22"/>
  <c r="V39" i="22"/>
  <c r="T39" i="22"/>
  <c r="S39" i="22"/>
  <c r="R39" i="22"/>
  <c r="P39" i="22"/>
  <c r="O39" i="22"/>
  <c r="N39" i="22"/>
  <c r="L39" i="22"/>
  <c r="K39" i="22"/>
  <c r="M38" i="22"/>
  <c r="U37" i="22"/>
  <c r="Q37" i="22"/>
  <c r="M37" i="22"/>
  <c r="J37" i="22"/>
  <c r="X36" i="22"/>
  <c r="W36" i="22"/>
  <c r="V36" i="22"/>
  <c r="T36" i="22"/>
  <c r="S36" i="22"/>
  <c r="R36" i="22"/>
  <c r="P36" i="22"/>
  <c r="O36" i="22"/>
  <c r="N36" i="22"/>
  <c r="L36" i="22"/>
  <c r="K36" i="22"/>
  <c r="M35" i="22"/>
  <c r="U34" i="22"/>
  <c r="Q34" i="22"/>
  <c r="M34" i="22"/>
  <c r="J34" i="22"/>
  <c r="X33" i="22"/>
  <c r="W33" i="22"/>
  <c r="V33" i="22"/>
  <c r="T33" i="22"/>
  <c r="S33" i="22"/>
  <c r="R33" i="22"/>
  <c r="P33" i="22"/>
  <c r="O33" i="22"/>
  <c r="N33" i="22"/>
  <c r="L33" i="22"/>
  <c r="K33" i="22"/>
  <c r="M32" i="22"/>
  <c r="U31" i="22"/>
  <c r="Q31" i="22"/>
  <c r="M31" i="22"/>
  <c r="I31" i="22"/>
  <c r="X30" i="22"/>
  <c r="W30" i="22"/>
  <c r="V30" i="22"/>
  <c r="T30" i="22"/>
  <c r="S30" i="22"/>
  <c r="R30" i="22"/>
  <c r="P30" i="22"/>
  <c r="O30" i="22"/>
  <c r="N30" i="22"/>
  <c r="L30" i="22"/>
  <c r="K30" i="22"/>
  <c r="M29" i="22"/>
  <c r="U28" i="22"/>
  <c r="Q28" i="22"/>
  <c r="M28" i="22"/>
  <c r="J28" i="22"/>
  <c r="J30" i="22" s="1"/>
  <c r="X27" i="22"/>
  <c r="W27" i="22"/>
  <c r="V27" i="22"/>
  <c r="T27" i="22"/>
  <c r="S27" i="22"/>
  <c r="R27" i="22"/>
  <c r="P27" i="22"/>
  <c r="O27" i="22"/>
  <c r="N27" i="22"/>
  <c r="L27" i="22"/>
  <c r="K27" i="22"/>
  <c r="M25" i="22"/>
  <c r="U24" i="22"/>
  <c r="Q24" i="22"/>
  <c r="M24" i="22"/>
  <c r="X23" i="22"/>
  <c r="W23" i="22"/>
  <c r="V23" i="22"/>
  <c r="T23" i="22"/>
  <c r="S23" i="22"/>
  <c r="R23" i="22"/>
  <c r="P23" i="22"/>
  <c r="O23" i="22"/>
  <c r="N23" i="22"/>
  <c r="L23" i="22"/>
  <c r="K23" i="22"/>
  <c r="M22" i="22"/>
  <c r="U21" i="22"/>
  <c r="Q21" i="22"/>
  <c r="M21" i="22"/>
  <c r="J21" i="22"/>
  <c r="X20" i="22"/>
  <c r="W20" i="22"/>
  <c r="V20" i="22"/>
  <c r="T20" i="22"/>
  <c r="S20" i="22"/>
  <c r="R20" i="22"/>
  <c r="P20" i="22"/>
  <c r="O20" i="22"/>
  <c r="N20" i="22"/>
  <c r="L20" i="22"/>
  <c r="K20" i="22"/>
  <c r="M19" i="22"/>
  <c r="U18" i="22"/>
  <c r="Q18" i="22"/>
  <c r="M18" i="22"/>
  <c r="I18" i="22"/>
  <c r="X17" i="22"/>
  <c r="W17" i="22"/>
  <c r="V17" i="22"/>
  <c r="T17" i="22"/>
  <c r="S17" i="22"/>
  <c r="R17" i="22"/>
  <c r="P17" i="22"/>
  <c r="O17" i="22"/>
  <c r="N17" i="22"/>
  <c r="L17" i="22"/>
  <c r="K17" i="22"/>
  <c r="M16" i="22"/>
  <c r="U15" i="22"/>
  <c r="Q15" i="22"/>
  <c r="M15" i="22"/>
  <c r="X14" i="22"/>
  <c r="W14" i="22"/>
  <c r="V14" i="22"/>
  <c r="T14" i="22"/>
  <c r="S14" i="22"/>
  <c r="R14" i="22"/>
  <c r="P14" i="22"/>
  <c r="O14" i="22"/>
  <c r="N14" i="22"/>
  <c r="L14" i="22"/>
  <c r="K14" i="22"/>
  <c r="M13" i="22"/>
  <c r="U12" i="22"/>
  <c r="Q12" i="22"/>
  <c r="M12" i="22"/>
  <c r="J12" i="22"/>
  <c r="I12" i="22" s="1"/>
  <c r="P68" i="23" l="1"/>
  <c r="M68" i="23" s="1"/>
  <c r="S68" i="23"/>
  <c r="T68" i="23"/>
  <c r="I16" i="23"/>
  <c r="I18" i="23" s="1"/>
  <c r="W68" i="23"/>
  <c r="U89" i="23"/>
  <c r="S89" i="23"/>
  <c r="I103" i="23"/>
  <c r="Q89" i="23"/>
  <c r="I97" i="23"/>
  <c r="M20" i="22"/>
  <c r="M23" i="22"/>
  <c r="U226" i="22"/>
  <c r="Q275" i="22"/>
  <c r="M14" i="22"/>
  <c r="M153" i="22"/>
  <c r="U249" i="22"/>
  <c r="M27" i="22"/>
  <c r="M45" i="22"/>
  <c r="Q107" i="22"/>
  <c r="M109" i="22"/>
  <c r="M114" i="22"/>
  <c r="I125" i="22"/>
  <c r="J271" i="22"/>
  <c r="I271" i="22" s="1"/>
  <c r="J284" i="22"/>
  <c r="J43" i="23"/>
  <c r="R89" i="23"/>
  <c r="M47" i="22"/>
  <c r="I27" i="23"/>
  <c r="I29" i="23" s="1"/>
  <c r="J92" i="23"/>
  <c r="L287" i="22"/>
  <c r="K92" i="23"/>
  <c r="L284" i="22"/>
  <c r="L250" i="22"/>
  <c r="W250" i="22"/>
  <c r="J89" i="23"/>
  <c r="K46" i="23"/>
  <c r="N182" i="22"/>
  <c r="Q205" i="22"/>
  <c r="I120" i="22"/>
  <c r="L122" i="22"/>
  <c r="I286" i="22"/>
  <c r="U45" i="22"/>
  <c r="U47" i="22"/>
  <c r="Q50" i="22"/>
  <c r="I56" i="22"/>
  <c r="U61" i="22"/>
  <c r="M73" i="22"/>
  <c r="Q75" i="22"/>
  <c r="M95" i="22"/>
  <c r="U95" i="22"/>
  <c r="Q60" i="22"/>
  <c r="U220" i="22"/>
  <c r="Q230" i="22"/>
  <c r="O250" i="22"/>
  <c r="U275" i="22"/>
  <c r="Q285" i="22"/>
  <c r="R63" i="22"/>
  <c r="I135" i="22"/>
  <c r="I126" i="22"/>
  <c r="U149" i="22"/>
  <c r="M156" i="22"/>
  <c r="V190" i="22"/>
  <c r="Q90" i="22"/>
  <c r="M293" i="22"/>
  <c r="M296" i="22"/>
  <c r="Q162" i="22"/>
  <c r="L166" i="22"/>
  <c r="M178" i="22"/>
  <c r="I185" i="22"/>
  <c r="I187" i="22"/>
  <c r="I205" i="22"/>
  <c r="T209" i="22"/>
  <c r="Q263" i="22"/>
  <c r="M194" i="22"/>
  <c r="M86" i="22"/>
  <c r="Q93" i="22"/>
  <c r="I106" i="22"/>
  <c r="Q293" i="22"/>
  <c r="M201" i="22"/>
  <c r="I76" i="22"/>
  <c r="L81" i="22"/>
  <c r="I81" i="22" s="1"/>
  <c r="Q284" i="22"/>
  <c r="U289" i="22"/>
  <c r="M199" i="22"/>
  <c r="U205" i="22"/>
  <c r="M218" i="22"/>
  <c r="I90" i="22"/>
  <c r="J63" i="22"/>
  <c r="I246" i="22"/>
  <c r="M166" i="22"/>
  <c r="M185" i="22"/>
  <c r="M205" i="22"/>
  <c r="U50" i="22"/>
  <c r="M56" i="22"/>
  <c r="U56" i="22"/>
  <c r="I59" i="22"/>
  <c r="W63" i="22"/>
  <c r="U93" i="22"/>
  <c r="M117" i="22"/>
  <c r="M125" i="22"/>
  <c r="M139" i="22"/>
  <c r="U165" i="22"/>
  <c r="M212" i="22"/>
  <c r="Q214" i="22"/>
  <c r="I220" i="22"/>
  <c r="U222" i="22"/>
  <c r="Q232" i="22"/>
  <c r="I294" i="22"/>
  <c r="I297" i="22"/>
  <c r="U164" i="22"/>
  <c r="M93" i="22"/>
  <c r="V63" i="22"/>
  <c r="Q27" i="22"/>
  <c r="Q33" i="22"/>
  <c r="Q47" i="22"/>
  <c r="Q228" i="22"/>
  <c r="M60" i="22"/>
  <c r="Q95" i="22"/>
  <c r="M216" i="22"/>
  <c r="I95" i="22"/>
  <c r="U162" i="22"/>
  <c r="M181" i="22"/>
  <c r="M187" i="22"/>
  <c r="N250" i="22"/>
  <c r="U246" i="22"/>
  <c r="I261" i="22"/>
  <c r="Q20" i="22"/>
  <c r="Q30" i="22"/>
  <c r="Q39" i="22"/>
  <c r="Q42" i="22"/>
  <c r="Q45" i="22"/>
  <c r="Q179" i="22"/>
  <c r="M180" i="22"/>
  <c r="Q212" i="22"/>
  <c r="I100" i="22"/>
  <c r="I103" i="22"/>
  <c r="V182" i="22"/>
  <c r="M179" i="22"/>
  <c r="Q194" i="22"/>
  <c r="Q199" i="22"/>
  <c r="Q201" i="22"/>
  <c r="I214" i="22"/>
  <c r="U261" i="22"/>
  <c r="U286" i="22"/>
  <c r="L89" i="23"/>
  <c r="J14" i="22"/>
  <c r="I14" i="22" s="1"/>
  <c r="O63" i="22"/>
  <c r="Q61" i="22"/>
  <c r="Q86" i="22"/>
  <c r="U90" i="22"/>
  <c r="U100" i="22"/>
  <c r="U103" i="22"/>
  <c r="M107" i="22"/>
  <c r="I153" i="22"/>
  <c r="M162" i="22"/>
  <c r="M164" i="22"/>
  <c r="M172" i="22"/>
  <c r="U174" i="22"/>
  <c r="U208" i="22"/>
  <c r="U214" i="22"/>
  <c r="Q249" i="22"/>
  <c r="X89" i="23"/>
  <c r="U17" i="22"/>
  <c r="U20" i="22"/>
  <c r="U30" i="22"/>
  <c r="J33" i="22"/>
  <c r="I33" i="22" s="1"/>
  <c r="M69" i="22"/>
  <c r="Q73" i="22"/>
  <c r="U75" i="22"/>
  <c r="Q117" i="22"/>
  <c r="U144" i="22"/>
  <c r="I165" i="22"/>
  <c r="R182" i="22"/>
  <c r="Q181" i="22"/>
  <c r="O209" i="22"/>
  <c r="U212" i="22"/>
  <c r="U230" i="22"/>
  <c r="P276" i="22"/>
  <c r="V298" i="22"/>
  <c r="U33" i="22"/>
  <c r="U39" i="22"/>
  <c r="U42" i="22"/>
  <c r="J45" i="22"/>
  <c r="I45" i="22" s="1"/>
  <c r="I47" i="22"/>
  <c r="I49" i="22"/>
  <c r="S63" i="22"/>
  <c r="M90" i="22"/>
  <c r="M124" i="22"/>
  <c r="M126" i="22"/>
  <c r="M135" i="22"/>
  <c r="I211" i="22"/>
  <c r="U228" i="22"/>
  <c r="M232" i="22"/>
  <c r="V250" i="22"/>
  <c r="I93" i="22"/>
  <c r="K298" i="22"/>
  <c r="U285" i="22"/>
  <c r="U288" i="22"/>
  <c r="U290" i="22"/>
  <c r="U292" i="22"/>
  <c r="M294" i="22"/>
  <c r="M297" i="22"/>
  <c r="N25" i="23"/>
  <c r="T89" i="23"/>
  <c r="N63" i="22"/>
  <c r="I109" i="22"/>
  <c r="U117" i="22"/>
  <c r="I156" i="22"/>
  <c r="Q165" i="22"/>
  <c r="N190" i="22"/>
  <c r="U224" i="22"/>
  <c r="M33" i="22"/>
  <c r="M36" i="22"/>
  <c r="K63" i="22"/>
  <c r="I162" i="22"/>
  <c r="I164" i="22"/>
  <c r="W169" i="22"/>
  <c r="I172" i="22"/>
  <c r="Q174" i="22"/>
  <c r="Q180" i="22"/>
  <c r="Q208" i="22"/>
  <c r="Q218" i="22"/>
  <c r="K276" i="22"/>
  <c r="M285" i="22"/>
  <c r="Q287" i="22"/>
  <c r="I93" i="23"/>
  <c r="I96" i="23"/>
  <c r="V25" i="23"/>
  <c r="O25" i="23"/>
  <c r="S25" i="23"/>
  <c r="W25" i="23"/>
  <c r="K106" i="23"/>
  <c r="I95" i="23"/>
  <c r="I99" i="23"/>
  <c r="I102" i="23"/>
  <c r="R25" i="23"/>
  <c r="L25" i="23"/>
  <c r="P25" i="23"/>
  <c r="T25" i="23"/>
  <c r="X25" i="23"/>
  <c r="U25" i="23" s="1"/>
  <c r="I94" i="23"/>
  <c r="I98" i="23"/>
  <c r="Q28" i="23"/>
  <c r="Q29" i="23" s="1"/>
  <c r="R93" i="23"/>
  <c r="L106" i="23"/>
  <c r="M65" i="23"/>
  <c r="J17" i="22"/>
  <c r="I17" i="22" s="1"/>
  <c r="I15" i="22"/>
  <c r="M287" i="22"/>
  <c r="I289" i="22"/>
  <c r="I290" i="22"/>
  <c r="I291" i="22"/>
  <c r="I292" i="22"/>
  <c r="U14" i="22"/>
  <c r="J20" i="22"/>
  <c r="I20" i="22" s="1"/>
  <c r="J23" i="22"/>
  <c r="I23" i="22" s="1"/>
  <c r="I21" i="22"/>
  <c r="I24" i="22"/>
  <c r="J27" i="22"/>
  <c r="I27" i="22" s="1"/>
  <c r="M39" i="22"/>
  <c r="R52" i="22"/>
  <c r="Q49" i="22"/>
  <c r="M50" i="22"/>
  <c r="M51" i="22"/>
  <c r="I60" i="22"/>
  <c r="O131" i="22"/>
  <c r="L124" i="22"/>
  <c r="I124" i="22" s="1"/>
  <c r="L190" i="22"/>
  <c r="R190" i="22"/>
  <c r="W190" i="22"/>
  <c r="I212" i="22"/>
  <c r="L52" i="22"/>
  <c r="V52" i="22"/>
  <c r="U49" i="22"/>
  <c r="T169" i="22"/>
  <c r="Q164" i="22"/>
  <c r="Q17" i="22"/>
  <c r="U27" i="22"/>
  <c r="J36" i="22"/>
  <c r="I36" i="22" s="1"/>
  <c r="I34" i="22"/>
  <c r="I37" i="22"/>
  <c r="J39" i="22"/>
  <c r="I39" i="22" s="1"/>
  <c r="N52" i="22"/>
  <c r="M49" i="22"/>
  <c r="I51" i="22"/>
  <c r="Q56" i="22"/>
  <c r="P123" i="22"/>
  <c r="M123" i="22" s="1"/>
  <c r="M76" i="22"/>
  <c r="W131" i="22"/>
  <c r="P149" i="22"/>
  <c r="P169" i="22" s="1"/>
  <c r="M145" i="22"/>
  <c r="Q14" i="22"/>
  <c r="I193" i="22"/>
  <c r="L194" i="22"/>
  <c r="I194" i="22" s="1"/>
  <c r="M17" i="22"/>
  <c r="U23" i="22"/>
  <c r="I28" i="22"/>
  <c r="M30" i="22"/>
  <c r="U36" i="22"/>
  <c r="I40" i="22"/>
  <c r="M42" i="22"/>
  <c r="X52" i="22"/>
  <c r="U59" i="22"/>
  <c r="M61" i="22"/>
  <c r="U69" i="22"/>
  <c r="M75" i="22"/>
  <c r="Q81" i="22"/>
  <c r="Q100" i="22"/>
  <c r="T131" i="22"/>
  <c r="U114" i="22"/>
  <c r="K131" i="22"/>
  <c r="U135" i="22"/>
  <c r="U153" i="22"/>
  <c r="U156" i="22"/>
  <c r="U166" i="22"/>
  <c r="M174" i="22"/>
  <c r="L178" i="22"/>
  <c r="L182" i="22" s="1"/>
  <c r="I179" i="22"/>
  <c r="L180" i="22"/>
  <c r="I180" i="22" s="1"/>
  <c r="I181" i="22"/>
  <c r="U185" i="22"/>
  <c r="U187" i="22"/>
  <c r="S190" i="22"/>
  <c r="U189" i="22"/>
  <c r="I199" i="22"/>
  <c r="I201" i="22"/>
  <c r="I208" i="22"/>
  <c r="R209" i="22"/>
  <c r="W209" i="22"/>
  <c r="M214" i="22"/>
  <c r="I226" i="22"/>
  <c r="I225" i="22"/>
  <c r="X298" i="22"/>
  <c r="M286" i="22"/>
  <c r="Q23" i="22"/>
  <c r="I30" i="22"/>
  <c r="Q36" i="22"/>
  <c r="I42" i="22"/>
  <c r="T52" i="22"/>
  <c r="T63" i="22"/>
  <c r="U60" i="22"/>
  <c r="I61" i="22"/>
  <c r="Q69" i="22"/>
  <c r="U73" i="22"/>
  <c r="I75" i="22"/>
  <c r="U86" i="22"/>
  <c r="I91" i="22"/>
  <c r="M100" i="22"/>
  <c r="M103" i="22"/>
  <c r="L123" i="22"/>
  <c r="I123" i="22" s="1"/>
  <c r="U107" i="22"/>
  <c r="Q109" i="22"/>
  <c r="R131" i="22"/>
  <c r="M122" i="22"/>
  <c r="M127" i="22"/>
  <c r="Q135" i="22"/>
  <c r="I149" i="22"/>
  <c r="Q153" i="22"/>
  <c r="Q156" i="22"/>
  <c r="Q166" i="22"/>
  <c r="Q172" i="22"/>
  <c r="I174" i="22"/>
  <c r="U178" i="22"/>
  <c r="U179" i="22"/>
  <c r="U180" i="22"/>
  <c r="U181" i="22"/>
  <c r="Q185" i="22"/>
  <c r="Q187" i="22"/>
  <c r="J190" i="22"/>
  <c r="O190" i="22"/>
  <c r="T190" i="22"/>
  <c r="U194" i="22"/>
  <c r="U199" i="22"/>
  <c r="U201" i="22"/>
  <c r="S209" i="22"/>
  <c r="Q216" i="22"/>
  <c r="I217" i="22"/>
  <c r="U293" i="22"/>
  <c r="P52" i="22"/>
  <c r="P63" i="22"/>
  <c r="S131" i="22"/>
  <c r="L293" i="22"/>
  <c r="I122" i="22"/>
  <c r="M128" i="22"/>
  <c r="X169" i="22"/>
  <c r="K169" i="22"/>
  <c r="O169" i="22"/>
  <c r="S169" i="22"/>
  <c r="J182" i="22"/>
  <c r="T182" i="22"/>
  <c r="K190" i="22"/>
  <c r="P190" i="22"/>
  <c r="I222" i="22"/>
  <c r="I221" i="22"/>
  <c r="K209" i="22"/>
  <c r="M208" i="22"/>
  <c r="P209" i="22"/>
  <c r="R233" i="22"/>
  <c r="U216" i="22"/>
  <c r="I218" i="22"/>
  <c r="Q220" i="22"/>
  <c r="Q222" i="22"/>
  <c r="Q224" i="22"/>
  <c r="Q226" i="22"/>
  <c r="M228" i="22"/>
  <c r="M230" i="22"/>
  <c r="I239" i="22"/>
  <c r="Q244" i="22"/>
  <c r="Q246" i="22"/>
  <c r="S250" i="22"/>
  <c r="Q261" i="22"/>
  <c r="Q303" i="22" s="1"/>
  <c r="M263" i="22"/>
  <c r="Q271" i="22"/>
  <c r="U284" i="22"/>
  <c r="U218" i="22"/>
  <c r="M220" i="22"/>
  <c r="M222" i="22"/>
  <c r="M224" i="22"/>
  <c r="M226" i="22"/>
  <c r="I229" i="22"/>
  <c r="U232" i="22"/>
  <c r="M246" i="22"/>
  <c r="M261" i="22"/>
  <c r="I263" i="22"/>
  <c r="I266" i="22"/>
  <c r="M271" i="22"/>
  <c r="U287" i="22"/>
  <c r="Q288" i="22"/>
  <c r="Q289" i="22"/>
  <c r="Q290" i="22"/>
  <c r="Q291" i="22"/>
  <c r="Q292" i="22"/>
  <c r="U296" i="22"/>
  <c r="U297" i="22"/>
  <c r="L303" i="22"/>
  <c r="Q286" i="22"/>
  <c r="I224" i="22"/>
  <c r="I230" i="22"/>
  <c r="R250" i="22"/>
  <c r="K250" i="22"/>
  <c r="O276" i="22"/>
  <c r="S298" i="22"/>
  <c r="M288" i="22"/>
  <c r="M289" i="22"/>
  <c r="M290" i="22"/>
  <c r="M291" i="22"/>
  <c r="M292" i="22"/>
  <c r="Q296" i="22"/>
  <c r="Q297" i="22"/>
  <c r="O298" i="22"/>
  <c r="T298" i="22"/>
  <c r="V91" i="23"/>
  <c r="V108" i="23" s="1"/>
  <c r="V90" i="23"/>
  <c r="J18" i="23"/>
  <c r="J25" i="23" s="1"/>
  <c r="K18" i="23"/>
  <c r="K25" i="23" s="1"/>
  <c r="J29" i="23"/>
  <c r="J68" i="23" s="1"/>
  <c r="I68" i="23" s="1"/>
  <c r="R29" i="23"/>
  <c r="R68" i="23" s="1"/>
  <c r="I71" i="23"/>
  <c r="I89" i="23" s="1"/>
  <c r="K29" i="23"/>
  <c r="K68" i="23" s="1"/>
  <c r="O29" i="23"/>
  <c r="O68" i="23" s="1"/>
  <c r="K52" i="22"/>
  <c r="W52" i="22"/>
  <c r="S52" i="22"/>
  <c r="O52" i="22"/>
  <c r="I69" i="22"/>
  <c r="I114" i="22"/>
  <c r="L169" i="22"/>
  <c r="X131" i="22"/>
  <c r="J169" i="22"/>
  <c r="V169" i="22"/>
  <c r="X182" i="22"/>
  <c r="X190" i="22"/>
  <c r="Q59" i="22"/>
  <c r="J166" i="22"/>
  <c r="I140" i="22"/>
  <c r="J285" i="22"/>
  <c r="L285" i="22"/>
  <c r="X209" i="22"/>
  <c r="N298" i="22"/>
  <c r="N131" i="22"/>
  <c r="R169" i="22"/>
  <c r="U271" i="22"/>
  <c r="V276" i="22"/>
  <c r="L302" i="22"/>
  <c r="M59" i="22"/>
  <c r="L73" i="22"/>
  <c r="I73" i="22" s="1"/>
  <c r="Q103" i="22"/>
  <c r="J131" i="22"/>
  <c r="I139" i="22"/>
  <c r="Q178" i="22"/>
  <c r="M189" i="22"/>
  <c r="Q189" i="22"/>
  <c r="N209" i="22"/>
  <c r="M239" i="22"/>
  <c r="P250" i="22"/>
  <c r="M244" i="22"/>
  <c r="R276" i="22"/>
  <c r="I288" i="22"/>
  <c r="L63" i="22"/>
  <c r="X63" i="22"/>
  <c r="I67" i="22"/>
  <c r="M81" i="22"/>
  <c r="L86" i="22"/>
  <c r="I86" i="22" s="1"/>
  <c r="L107" i="22"/>
  <c r="I107" i="22" s="1"/>
  <c r="I112" i="22"/>
  <c r="U122" i="22"/>
  <c r="U123" i="22"/>
  <c r="U124" i="22"/>
  <c r="U125" i="22"/>
  <c r="U126" i="22"/>
  <c r="U127" i="22"/>
  <c r="U130" i="22"/>
  <c r="V131" i="22"/>
  <c r="U139" i="22"/>
  <c r="Q144" i="22"/>
  <c r="Q149" i="22"/>
  <c r="P165" i="22"/>
  <c r="M165" i="22" s="1"/>
  <c r="P182" i="22"/>
  <c r="J209" i="22"/>
  <c r="I232" i="22"/>
  <c r="M275" i="22"/>
  <c r="N276" i="22"/>
  <c r="I144" i="22"/>
  <c r="N169" i="22"/>
  <c r="Q302" i="22"/>
  <c r="J50" i="22"/>
  <c r="I50" i="22" s="1"/>
  <c r="I189" i="22"/>
  <c r="I228" i="22"/>
  <c r="V233" i="22"/>
  <c r="J302" i="22"/>
  <c r="I82" i="22"/>
  <c r="I105" i="22"/>
  <c r="Q114" i="22"/>
  <c r="I115" i="22"/>
  <c r="L117" i="22"/>
  <c r="Q122" i="22"/>
  <c r="Q123" i="22"/>
  <c r="Q124" i="22"/>
  <c r="Q125" i="22"/>
  <c r="Q126" i="22"/>
  <c r="L127" i="22"/>
  <c r="I127" i="22" s="1"/>
  <c r="Q127" i="22"/>
  <c r="Q130" i="22"/>
  <c r="I136" i="22"/>
  <c r="Q139" i="22"/>
  <c r="M144" i="22"/>
  <c r="K182" i="22"/>
  <c r="O182" i="22"/>
  <c r="S182" i="22"/>
  <c r="W182" i="22"/>
  <c r="V209" i="22"/>
  <c r="L209" i="22"/>
  <c r="L233" i="22"/>
  <c r="P233" i="22"/>
  <c r="T233" i="22"/>
  <c r="X233" i="22"/>
  <c r="N233" i="22"/>
  <c r="J250" i="22"/>
  <c r="I244" i="22"/>
  <c r="X250" i="22"/>
  <c r="U244" i="22"/>
  <c r="T250" i="22"/>
  <c r="T276" i="22"/>
  <c r="L296" i="22"/>
  <c r="L275" i="22"/>
  <c r="L276" i="22" s="1"/>
  <c r="L282" i="22" s="1"/>
  <c r="I273" i="22"/>
  <c r="R298" i="22"/>
  <c r="U239" i="22"/>
  <c r="M249" i="22"/>
  <c r="W276" i="22"/>
  <c r="W282" i="22" s="1"/>
  <c r="L130" i="22"/>
  <c r="I130" i="22" s="1"/>
  <c r="J303" i="22"/>
  <c r="K233" i="22"/>
  <c r="O233" i="22"/>
  <c r="S233" i="22"/>
  <c r="W233" i="22"/>
  <c r="Q239" i="22"/>
  <c r="I249" i="22"/>
  <c r="S276" i="22"/>
  <c r="S282" i="22" s="1"/>
  <c r="X276" i="22"/>
  <c r="W298" i="22"/>
  <c r="T303" i="22"/>
  <c r="I238" i="22"/>
  <c r="M238" i="22"/>
  <c r="Q238" i="22"/>
  <c r="U238" i="22"/>
  <c r="I241" i="22"/>
  <c r="Q25" i="23" l="1"/>
  <c r="Q68" i="23"/>
  <c r="O282" i="22"/>
  <c r="R282" i="22"/>
  <c r="W90" i="23"/>
  <c r="X282" i="22"/>
  <c r="T282" i="22"/>
  <c r="I182" i="22"/>
  <c r="I287" i="22"/>
  <c r="J276" i="22"/>
  <c r="J282" i="22" s="1"/>
  <c r="I282" i="22" s="1"/>
  <c r="I250" i="22"/>
  <c r="N282" i="22"/>
  <c r="M182" i="22"/>
  <c r="V282" i="22"/>
  <c r="Q52" i="22"/>
  <c r="S91" i="23"/>
  <c r="P234" i="22"/>
  <c r="K91" i="23"/>
  <c r="K108" i="23" s="1"/>
  <c r="K282" i="22"/>
  <c r="W91" i="23"/>
  <c r="P282" i="22"/>
  <c r="L90" i="23"/>
  <c r="N90" i="23"/>
  <c r="S90" i="23"/>
  <c r="N91" i="23"/>
  <c r="N108" i="23" s="1"/>
  <c r="L91" i="23"/>
  <c r="L108" i="23" s="1"/>
  <c r="U90" i="23"/>
  <c r="X91" i="23"/>
  <c r="X108" i="23" s="1"/>
  <c r="P90" i="23"/>
  <c r="Q182" i="22"/>
  <c r="O234" i="22"/>
  <c r="I166" i="22"/>
  <c r="U298" i="22"/>
  <c r="I178" i="22"/>
  <c r="I293" i="22"/>
  <c r="U190" i="22"/>
  <c r="U182" i="22"/>
  <c r="M190" i="22"/>
  <c r="U250" i="22"/>
  <c r="I63" i="22"/>
  <c r="U169" i="22"/>
  <c r="Q209" i="22"/>
  <c r="T195" i="22"/>
  <c r="Q190" i="22"/>
  <c r="Q169" i="22"/>
  <c r="I303" i="22"/>
  <c r="U52" i="22"/>
  <c r="X195" i="22"/>
  <c r="R234" i="22"/>
  <c r="M149" i="22"/>
  <c r="Q233" i="22"/>
  <c r="R91" i="23"/>
  <c r="X90" i="23"/>
  <c r="Q250" i="22"/>
  <c r="M63" i="22"/>
  <c r="J233" i="22"/>
  <c r="I233" i="22" s="1"/>
  <c r="Q131" i="22"/>
  <c r="Q63" i="22"/>
  <c r="X234" i="22"/>
  <c r="U91" i="23"/>
  <c r="U108" i="23" s="1"/>
  <c r="Q91" i="23"/>
  <c r="M25" i="23"/>
  <c r="M90" i="23" s="1"/>
  <c r="M52" i="22"/>
  <c r="O90" i="23"/>
  <c r="R90" i="23"/>
  <c r="T90" i="23"/>
  <c r="I25" i="23"/>
  <c r="I90" i="23" s="1"/>
  <c r="J106" i="23"/>
  <c r="I106" i="23" s="1"/>
  <c r="I92" i="23"/>
  <c r="I91" i="23"/>
  <c r="T91" i="23"/>
  <c r="T108" i="23" s="1"/>
  <c r="Q93" i="23"/>
  <c r="R106" i="23"/>
  <c r="Q106" i="23" s="1"/>
  <c r="O91" i="23"/>
  <c r="O108" i="23" s="1"/>
  <c r="P91" i="23"/>
  <c r="P108" i="23" s="1"/>
  <c r="I302" i="22"/>
  <c r="M169" i="22"/>
  <c r="N195" i="22"/>
  <c r="J52" i="22"/>
  <c r="I52" i="22" s="1"/>
  <c r="I190" i="22"/>
  <c r="I216" i="22"/>
  <c r="M233" i="22"/>
  <c r="L298" i="22"/>
  <c r="I296" i="22"/>
  <c r="U233" i="22"/>
  <c r="S195" i="22"/>
  <c r="S283" i="22" s="1"/>
  <c r="J91" i="23"/>
  <c r="J90" i="23"/>
  <c r="Q90" i="23"/>
  <c r="L131" i="22"/>
  <c r="I131" i="22" s="1"/>
  <c r="I117" i="22"/>
  <c r="M250" i="22"/>
  <c r="T234" i="22"/>
  <c r="M276" i="22"/>
  <c r="U131" i="22"/>
  <c r="M209" i="22"/>
  <c r="N234" i="22"/>
  <c r="U276" i="22"/>
  <c r="I285" i="22"/>
  <c r="I169" i="22"/>
  <c r="P131" i="22"/>
  <c r="P195" i="22" s="1"/>
  <c r="V195" i="22"/>
  <c r="Q298" i="22"/>
  <c r="L234" i="22"/>
  <c r="I209" i="22"/>
  <c r="P298" i="22"/>
  <c r="M298" i="22" s="1"/>
  <c r="M284" i="22"/>
  <c r="Q276" i="22"/>
  <c r="O195" i="22"/>
  <c r="U63" i="22"/>
  <c r="I275" i="22"/>
  <c r="I284" i="22"/>
  <c r="J298" i="22"/>
  <c r="V234" i="22"/>
  <c r="U209" i="22"/>
  <c r="R195" i="22"/>
  <c r="W195" i="22"/>
  <c r="W283" i="22" s="1"/>
  <c r="K195" i="22"/>
  <c r="K283" i="22" s="1"/>
  <c r="I276" i="22" l="1"/>
  <c r="M234" i="22"/>
  <c r="K90" i="23"/>
  <c r="M282" i="22"/>
  <c r="J195" i="22"/>
  <c r="O283" i="22"/>
  <c r="O309" i="22" s="1"/>
  <c r="M91" i="23"/>
  <c r="M108" i="23" s="1"/>
  <c r="Q234" i="22"/>
  <c r="Q108" i="23"/>
  <c r="J234" i="22"/>
  <c r="I234" i="22" s="1"/>
  <c r="P283" i="22"/>
  <c r="P309" i="22" s="1"/>
  <c r="U282" i="22"/>
  <c r="X283" i="22"/>
  <c r="T283" i="22"/>
  <c r="T300" i="22" s="1"/>
  <c r="Q282" i="22"/>
  <c r="U234" i="22"/>
  <c r="L195" i="22"/>
  <c r="L283" i="22" s="1"/>
  <c r="L300" i="22" s="1"/>
  <c r="M195" i="22"/>
  <c r="M131" i="22"/>
  <c r="R108" i="23"/>
  <c r="I108" i="23"/>
  <c r="J108" i="23"/>
  <c r="Q195" i="22"/>
  <c r="R283" i="22"/>
  <c r="I298" i="22"/>
  <c r="V283" i="22"/>
  <c r="U195" i="22"/>
  <c r="N283" i="22"/>
  <c r="T309" i="22" l="1"/>
  <c r="J283" i="22"/>
  <c r="J309" i="22" s="1"/>
  <c r="U283" i="22"/>
  <c r="L309" i="22"/>
  <c r="Q283" i="22"/>
  <c r="I195" i="22"/>
  <c r="R300" i="22"/>
  <c r="R309" i="22"/>
  <c r="M283" i="22"/>
  <c r="M309" i="22" s="1"/>
  <c r="N309" i="22"/>
  <c r="J300" i="22" l="1"/>
  <c r="I283" i="22"/>
  <c r="I300" i="22" s="1"/>
  <c r="Q300" i="22"/>
  <c r="Q309" i="22"/>
  <c r="I309" i="22" l="1"/>
  <c r="O317" i="14"/>
  <c r="T79" i="18"/>
  <c r="P78" i="18"/>
  <c r="P119" i="19"/>
  <c r="N22" i="19"/>
  <c r="N164" i="19" s="1"/>
  <c r="T85" i="15"/>
  <c r="T296" i="14"/>
  <c r="I65" i="16"/>
  <c r="N171" i="19"/>
  <c r="M119" i="19" l="1"/>
  <c r="P164" i="19"/>
  <c r="O134" i="16"/>
  <c r="P134" i="16"/>
  <c r="N134" i="16"/>
  <c r="P52" i="16"/>
  <c r="M52" i="16" s="1"/>
  <c r="N146" i="18"/>
  <c r="M49" i="14"/>
  <c r="M26" i="14"/>
  <c r="M79" i="18" l="1"/>
  <c r="M140" i="18" l="1"/>
  <c r="O173" i="19"/>
  <c r="P173" i="19"/>
  <c r="N173" i="19"/>
  <c r="O168" i="19"/>
  <c r="P168" i="19"/>
  <c r="N168" i="19"/>
  <c r="O171" i="19"/>
  <c r="J156" i="12"/>
  <c r="I156" i="12" s="1"/>
  <c r="J173" i="19"/>
  <c r="J172" i="19"/>
  <c r="P137" i="16" l="1"/>
  <c r="L147" i="12" s="1"/>
  <c r="I147" i="12" s="1"/>
  <c r="M120" i="16"/>
  <c r="P122" i="16"/>
  <c r="N156" i="14"/>
  <c r="M153" i="14"/>
  <c r="M154" i="14"/>
  <c r="M137" i="16" l="1"/>
  <c r="N186" i="14"/>
  <c r="M185" i="14"/>
  <c r="M321" i="14" s="1"/>
  <c r="X319" i="14"/>
  <c r="W319" i="14"/>
  <c r="V319" i="14"/>
  <c r="X325" i="14"/>
  <c r="W325" i="14"/>
  <c r="V325" i="14"/>
  <c r="X324" i="14"/>
  <c r="W324" i="14"/>
  <c r="V324" i="14"/>
  <c r="X323" i="14"/>
  <c r="W323" i="14"/>
  <c r="V323" i="14"/>
  <c r="U323" i="14" s="1"/>
  <c r="X322" i="14"/>
  <c r="W322" i="14"/>
  <c r="V322" i="14"/>
  <c r="X320" i="14"/>
  <c r="W320" i="14"/>
  <c r="V320" i="14"/>
  <c r="U319" i="14" l="1"/>
  <c r="U320" i="14"/>
  <c r="U322" i="14"/>
  <c r="U325" i="14"/>
  <c r="T135" i="12"/>
  <c r="S135" i="12"/>
  <c r="P135" i="12"/>
  <c r="O135" i="12"/>
  <c r="N135" i="12"/>
  <c r="L135" i="12"/>
  <c r="K135" i="12"/>
  <c r="R135" i="12" l="1"/>
  <c r="J135" i="12"/>
  <c r="T146" i="12" l="1"/>
  <c r="S146" i="12"/>
  <c r="R146" i="12"/>
  <c r="P146" i="12"/>
  <c r="O146" i="12"/>
  <c r="N146" i="12"/>
  <c r="L146" i="12"/>
  <c r="K146" i="12"/>
  <c r="J146" i="12"/>
  <c r="T145" i="12"/>
  <c r="S145" i="12"/>
  <c r="R145" i="12"/>
  <c r="P145" i="12"/>
  <c r="O145" i="12"/>
  <c r="N145" i="12"/>
  <c r="L145" i="12"/>
  <c r="K145" i="12"/>
  <c r="T144" i="12"/>
  <c r="S144" i="12"/>
  <c r="P144" i="12"/>
  <c r="O144" i="12"/>
  <c r="L144" i="12"/>
  <c r="K144" i="12"/>
  <c r="J144" i="12"/>
  <c r="N144" i="12" l="1"/>
  <c r="J145" i="12"/>
  <c r="R144" i="12"/>
  <c r="F146" i="12"/>
  <c r="X173" i="19" l="1"/>
  <c r="W173" i="19"/>
  <c r="V173" i="19"/>
  <c r="T173" i="19"/>
  <c r="S173" i="19"/>
  <c r="R173" i="19"/>
  <c r="M173" i="19"/>
  <c r="L173" i="19"/>
  <c r="I173" i="19" s="1"/>
  <c r="K173" i="19"/>
  <c r="X172" i="19"/>
  <c r="T152" i="12" s="1"/>
  <c r="W172" i="19"/>
  <c r="S152" i="12" s="1"/>
  <c r="V172" i="19"/>
  <c r="T172" i="19"/>
  <c r="P152" i="12" s="1"/>
  <c r="S172" i="19"/>
  <c r="O152" i="12" s="1"/>
  <c r="R172" i="19"/>
  <c r="P172" i="19"/>
  <c r="L152" i="12" s="1"/>
  <c r="O172" i="19"/>
  <c r="K152" i="12" s="1"/>
  <c r="N172" i="19"/>
  <c r="L172" i="19"/>
  <c r="K172" i="19"/>
  <c r="I172" i="19"/>
  <c r="X171" i="19"/>
  <c r="W171" i="19"/>
  <c r="V171" i="19"/>
  <c r="T171" i="19"/>
  <c r="S171" i="19"/>
  <c r="R171" i="19"/>
  <c r="P171" i="19"/>
  <c r="L171" i="19"/>
  <c r="I171" i="19" s="1"/>
  <c r="K171" i="19"/>
  <c r="X170" i="19"/>
  <c r="T148" i="12" s="1"/>
  <c r="W170" i="19"/>
  <c r="S148" i="12" s="1"/>
  <c r="V170" i="19"/>
  <c r="T170" i="19"/>
  <c r="P148" i="12" s="1"/>
  <c r="S170" i="19"/>
  <c r="O148" i="12" s="1"/>
  <c r="R170" i="19"/>
  <c r="P170" i="19"/>
  <c r="L148" i="12" s="1"/>
  <c r="O170" i="19"/>
  <c r="K148" i="12" s="1"/>
  <c r="N170" i="19"/>
  <c r="L170" i="19"/>
  <c r="K170" i="19"/>
  <c r="G148" i="12" s="1"/>
  <c r="J170" i="19"/>
  <c r="X169" i="19"/>
  <c r="W169" i="19"/>
  <c r="V169" i="19"/>
  <c r="T169" i="19"/>
  <c r="S169" i="19"/>
  <c r="R169" i="19"/>
  <c r="P169" i="19"/>
  <c r="O169" i="19"/>
  <c r="N169" i="19"/>
  <c r="L169" i="19"/>
  <c r="X168" i="19"/>
  <c r="W168" i="19"/>
  <c r="V168" i="19"/>
  <c r="T168" i="19"/>
  <c r="S168" i="19"/>
  <c r="R168" i="19"/>
  <c r="M168" i="19"/>
  <c r="L168" i="19"/>
  <c r="K168" i="19"/>
  <c r="J168" i="19"/>
  <c r="X167" i="19"/>
  <c r="W167" i="19"/>
  <c r="V167" i="19"/>
  <c r="T167" i="19"/>
  <c r="S167" i="19"/>
  <c r="R167" i="19"/>
  <c r="P167" i="19"/>
  <c r="O167" i="19"/>
  <c r="N167" i="19"/>
  <c r="L167" i="19"/>
  <c r="K167" i="19"/>
  <c r="J167" i="19"/>
  <c r="X165" i="19"/>
  <c r="W165" i="19"/>
  <c r="V165" i="19"/>
  <c r="T165" i="19"/>
  <c r="S165" i="19"/>
  <c r="R165" i="19"/>
  <c r="P165" i="19"/>
  <c r="O165" i="19"/>
  <c r="N165" i="19"/>
  <c r="L165" i="19"/>
  <c r="K165" i="19"/>
  <c r="J165" i="19"/>
  <c r="X160" i="19"/>
  <c r="W160" i="19"/>
  <c r="V160" i="19"/>
  <c r="T160" i="19"/>
  <c r="S160" i="19"/>
  <c r="R160" i="19"/>
  <c r="Q160" i="19" s="1"/>
  <c r="P160" i="19"/>
  <c r="O160" i="19"/>
  <c r="N160" i="19"/>
  <c r="L160" i="19"/>
  <c r="K160" i="19"/>
  <c r="J160" i="19"/>
  <c r="I160" i="19" s="1"/>
  <c r="X158" i="19"/>
  <c r="W158" i="19"/>
  <c r="V158" i="19"/>
  <c r="T158" i="19"/>
  <c r="Q158" i="19" s="1"/>
  <c r="S158" i="19"/>
  <c r="R158" i="19"/>
  <c r="P158" i="19"/>
  <c r="O158" i="19"/>
  <c r="N158" i="19"/>
  <c r="L158" i="19"/>
  <c r="K158" i="19"/>
  <c r="J158" i="19"/>
  <c r="I158" i="19" s="1"/>
  <c r="M157" i="19"/>
  <c r="X155" i="19"/>
  <c r="W155" i="19"/>
  <c r="V155" i="19"/>
  <c r="T155" i="19"/>
  <c r="S155" i="19"/>
  <c r="R155" i="19"/>
  <c r="P155" i="19"/>
  <c r="O155" i="19"/>
  <c r="N155" i="19"/>
  <c r="L155" i="19"/>
  <c r="K155" i="19"/>
  <c r="J155" i="19"/>
  <c r="I155" i="19" s="1"/>
  <c r="X153" i="19"/>
  <c r="W153" i="19"/>
  <c r="V153" i="19"/>
  <c r="T153" i="19"/>
  <c r="S153" i="19"/>
  <c r="R153" i="19"/>
  <c r="P153" i="19"/>
  <c r="N153" i="19"/>
  <c r="M153" i="19" s="1"/>
  <c r="L153" i="19"/>
  <c r="K153" i="19"/>
  <c r="J152" i="19"/>
  <c r="J153" i="19" s="1"/>
  <c r="I153" i="19" s="1"/>
  <c r="X151" i="19"/>
  <c r="W151" i="19"/>
  <c r="V151" i="19"/>
  <c r="T151" i="19"/>
  <c r="S151" i="19"/>
  <c r="R151" i="19"/>
  <c r="P151" i="19"/>
  <c r="O151" i="19"/>
  <c r="N151" i="19"/>
  <c r="L151" i="19"/>
  <c r="K151" i="19"/>
  <c r="J151" i="19"/>
  <c r="X144" i="19"/>
  <c r="W144" i="19"/>
  <c r="V144" i="19"/>
  <c r="T144" i="19"/>
  <c r="S144" i="19"/>
  <c r="R144" i="19"/>
  <c r="P144" i="19"/>
  <c r="O144" i="19"/>
  <c r="N144" i="19"/>
  <c r="L144" i="19"/>
  <c r="K144" i="19"/>
  <c r="J144" i="19"/>
  <c r="I144" i="19" s="1"/>
  <c r="R145" i="19"/>
  <c r="J136" i="19"/>
  <c r="X133" i="19"/>
  <c r="X134" i="19" s="1"/>
  <c r="W133" i="19"/>
  <c r="W134" i="19" s="1"/>
  <c r="V133" i="19"/>
  <c r="V134" i="19" s="1"/>
  <c r="U134" i="19" s="1"/>
  <c r="T133" i="19"/>
  <c r="T134" i="19" s="1"/>
  <c r="S133" i="19"/>
  <c r="S134" i="19" s="1"/>
  <c r="R133" i="19"/>
  <c r="R134" i="19" s="1"/>
  <c r="P133" i="19"/>
  <c r="P134" i="19" s="1"/>
  <c r="O133" i="19"/>
  <c r="O134" i="19" s="1"/>
  <c r="N133" i="19"/>
  <c r="N134" i="19" s="1"/>
  <c r="L133" i="19"/>
  <c r="L134" i="19" s="1"/>
  <c r="K133" i="19"/>
  <c r="K134" i="19" s="1"/>
  <c r="J133" i="19"/>
  <c r="J134" i="19" s="1"/>
  <c r="I134" i="19" s="1"/>
  <c r="U132" i="19"/>
  <c r="Q132" i="19"/>
  <c r="M132" i="19"/>
  <c r="I132" i="19"/>
  <c r="X127" i="19"/>
  <c r="W127" i="19"/>
  <c r="V127" i="19"/>
  <c r="U127" i="19" s="1"/>
  <c r="T127" i="19"/>
  <c r="S127" i="19"/>
  <c r="R127" i="19"/>
  <c r="P127" i="19"/>
  <c r="O127" i="19"/>
  <c r="N127" i="19"/>
  <c r="L127" i="19"/>
  <c r="K127" i="19"/>
  <c r="J127" i="19"/>
  <c r="U126" i="19"/>
  <c r="Q126" i="19"/>
  <c r="M126" i="19"/>
  <c r="I126" i="19"/>
  <c r="U125" i="19"/>
  <c r="Q125" i="19"/>
  <c r="M125" i="19"/>
  <c r="X124" i="19"/>
  <c r="W124" i="19"/>
  <c r="V124" i="19"/>
  <c r="T124" i="19"/>
  <c r="S124" i="19"/>
  <c r="R124" i="19"/>
  <c r="P124" i="19"/>
  <c r="O124" i="19"/>
  <c r="N124" i="19"/>
  <c r="L124" i="19"/>
  <c r="K124" i="19"/>
  <c r="J124" i="19"/>
  <c r="U122" i="19"/>
  <c r="Q122" i="19"/>
  <c r="X121" i="19"/>
  <c r="W121" i="19"/>
  <c r="V121" i="19"/>
  <c r="T121" i="19"/>
  <c r="S121" i="19"/>
  <c r="R121" i="19"/>
  <c r="P121" i="19"/>
  <c r="O121" i="19"/>
  <c r="N121" i="19"/>
  <c r="M121" i="19" s="1"/>
  <c r="L121" i="19"/>
  <c r="K121" i="19"/>
  <c r="J121" i="19"/>
  <c r="I121" i="19" s="1"/>
  <c r="U120" i="19"/>
  <c r="Q120" i="19"/>
  <c r="M120" i="19"/>
  <c r="U119" i="19"/>
  <c r="X118" i="19"/>
  <c r="W118" i="19"/>
  <c r="V118" i="19"/>
  <c r="T118" i="19"/>
  <c r="S118" i="19"/>
  <c r="R118" i="19"/>
  <c r="P118" i="19"/>
  <c r="O118" i="19"/>
  <c r="N118" i="19"/>
  <c r="L118" i="19"/>
  <c r="J118" i="19"/>
  <c r="M117" i="19"/>
  <c r="Q116" i="19"/>
  <c r="K116" i="19"/>
  <c r="K118" i="19" s="1"/>
  <c r="I116" i="19"/>
  <c r="I115" i="19"/>
  <c r="Q114" i="19"/>
  <c r="M114" i="19"/>
  <c r="U111" i="19"/>
  <c r="Q111" i="19"/>
  <c r="M111" i="19"/>
  <c r="I108" i="19"/>
  <c r="V107" i="19"/>
  <c r="U107" i="19" s="1"/>
  <c r="R107" i="19"/>
  <c r="Q107" i="19" s="1"/>
  <c r="N107" i="19"/>
  <c r="M107" i="19" s="1"/>
  <c r="L107" i="19"/>
  <c r="K107" i="19"/>
  <c r="J107" i="19"/>
  <c r="W104" i="19"/>
  <c r="V104" i="19"/>
  <c r="U104" i="19" s="1"/>
  <c r="S104" i="19"/>
  <c r="R104" i="19"/>
  <c r="Q104" i="19" s="1"/>
  <c r="O104" i="19"/>
  <c r="N104" i="19"/>
  <c r="M104" i="19" s="1"/>
  <c r="L104" i="19"/>
  <c r="K104" i="19"/>
  <c r="J104" i="19"/>
  <c r="W102" i="19"/>
  <c r="V102" i="19"/>
  <c r="U102" i="19" s="1"/>
  <c r="S102" i="19"/>
  <c r="R102" i="19"/>
  <c r="Q102" i="19" s="1"/>
  <c r="O102" i="19"/>
  <c r="N102" i="19"/>
  <c r="M102" i="19" s="1"/>
  <c r="L102" i="19"/>
  <c r="K102" i="19"/>
  <c r="J102" i="19"/>
  <c r="U101" i="19"/>
  <c r="Q101" i="19"/>
  <c r="M101" i="19"/>
  <c r="I101" i="19"/>
  <c r="X98" i="19"/>
  <c r="W98" i="19"/>
  <c r="V98" i="19"/>
  <c r="T98" i="19"/>
  <c r="S98" i="19"/>
  <c r="R98" i="19"/>
  <c r="P98" i="19"/>
  <c r="O98" i="19"/>
  <c r="N98" i="19"/>
  <c r="L98" i="19"/>
  <c r="K98" i="19"/>
  <c r="J98" i="19"/>
  <c r="X96" i="19"/>
  <c r="W96" i="19"/>
  <c r="V96" i="19"/>
  <c r="U96" i="19" s="1"/>
  <c r="T96" i="19"/>
  <c r="S96" i="19"/>
  <c r="R96" i="19"/>
  <c r="P96" i="19"/>
  <c r="O96" i="19"/>
  <c r="N96" i="19"/>
  <c r="L96" i="19"/>
  <c r="K96" i="19"/>
  <c r="J96" i="19"/>
  <c r="U95" i="19"/>
  <c r="Q95" i="19"/>
  <c r="M95" i="19"/>
  <c r="I95" i="19"/>
  <c r="U94" i="19"/>
  <c r="Q94" i="19"/>
  <c r="M94" i="19"/>
  <c r="I94" i="19"/>
  <c r="X93" i="19"/>
  <c r="W93" i="19"/>
  <c r="V93" i="19"/>
  <c r="T93" i="19"/>
  <c r="S93" i="19"/>
  <c r="R93" i="19"/>
  <c r="P93" i="19"/>
  <c r="O93" i="19"/>
  <c r="N93" i="19"/>
  <c r="L93" i="19"/>
  <c r="K93" i="19"/>
  <c r="J93" i="19"/>
  <c r="Q92" i="19"/>
  <c r="M92" i="19"/>
  <c r="X90" i="19"/>
  <c r="W90" i="19"/>
  <c r="V90" i="19"/>
  <c r="T90" i="19"/>
  <c r="S90" i="19"/>
  <c r="R90" i="19"/>
  <c r="P90" i="19"/>
  <c r="O90" i="19"/>
  <c r="N90" i="19"/>
  <c r="M90" i="19" s="1"/>
  <c r="L90" i="19"/>
  <c r="K90" i="19"/>
  <c r="J90" i="19"/>
  <c r="U89" i="19"/>
  <c r="Q89" i="19"/>
  <c r="M89" i="19"/>
  <c r="I89" i="19"/>
  <c r="V86" i="19"/>
  <c r="U86" i="19"/>
  <c r="R86" i="19"/>
  <c r="Q86" i="19"/>
  <c r="P86" i="19"/>
  <c r="O86" i="19"/>
  <c r="N86" i="19"/>
  <c r="L86" i="19"/>
  <c r="K86" i="19"/>
  <c r="U85" i="19"/>
  <c r="Q85" i="19"/>
  <c r="M85" i="19"/>
  <c r="J85" i="19"/>
  <c r="J86" i="19" s="1"/>
  <c r="I86" i="19" s="1"/>
  <c r="U84" i="19"/>
  <c r="Q84" i="19"/>
  <c r="I84" i="19"/>
  <c r="I83" i="19"/>
  <c r="I82" i="19"/>
  <c r="I81" i="19"/>
  <c r="U80" i="19"/>
  <c r="Q80" i="19"/>
  <c r="I80" i="19"/>
  <c r="V79" i="19"/>
  <c r="U79" i="19"/>
  <c r="R79" i="19"/>
  <c r="Q79" i="19"/>
  <c r="O79" i="19"/>
  <c r="N79" i="19"/>
  <c r="M79" i="19"/>
  <c r="K79" i="19"/>
  <c r="X77" i="19"/>
  <c r="W77" i="19"/>
  <c r="V77" i="19"/>
  <c r="T77" i="19"/>
  <c r="S77" i="19"/>
  <c r="R77" i="19"/>
  <c r="P77" i="19"/>
  <c r="O77" i="19"/>
  <c r="N77" i="19"/>
  <c r="L77" i="19"/>
  <c r="U75" i="19"/>
  <c r="U77" i="19" s="1"/>
  <c r="Q75" i="19"/>
  <c r="Q77" i="19" s="1"/>
  <c r="M77" i="19"/>
  <c r="K77" i="19"/>
  <c r="J77" i="19"/>
  <c r="X74" i="19"/>
  <c r="W74" i="19"/>
  <c r="V74" i="19"/>
  <c r="T74" i="19"/>
  <c r="S74" i="19"/>
  <c r="R74" i="19"/>
  <c r="P74" i="19"/>
  <c r="O74" i="19"/>
  <c r="N74" i="19"/>
  <c r="L74" i="19"/>
  <c r="U73" i="19"/>
  <c r="Q73" i="19"/>
  <c r="M73" i="19"/>
  <c r="I73" i="19"/>
  <c r="J72" i="19"/>
  <c r="I72" i="19"/>
  <c r="U71" i="19"/>
  <c r="Q71" i="19"/>
  <c r="K74" i="19"/>
  <c r="X70" i="19"/>
  <c r="W70" i="19"/>
  <c r="V70" i="19"/>
  <c r="U70" i="19" s="1"/>
  <c r="T70" i="19"/>
  <c r="S70" i="19"/>
  <c r="R70" i="19"/>
  <c r="P70" i="19"/>
  <c r="O70" i="19"/>
  <c r="N70" i="19"/>
  <c r="M70" i="19" s="1"/>
  <c r="L70" i="19"/>
  <c r="K70" i="19"/>
  <c r="U69" i="19"/>
  <c r="Q69" i="19"/>
  <c r="M69" i="19"/>
  <c r="I68" i="19"/>
  <c r="U67" i="19"/>
  <c r="Q67" i="19"/>
  <c r="J70" i="19"/>
  <c r="I70" i="19" s="1"/>
  <c r="X66" i="19"/>
  <c r="W66" i="19"/>
  <c r="V66" i="19"/>
  <c r="T66" i="19"/>
  <c r="S66" i="19"/>
  <c r="R66" i="19"/>
  <c r="Q66" i="19" s="1"/>
  <c r="P66" i="19"/>
  <c r="O66" i="19"/>
  <c r="N66" i="19"/>
  <c r="L66" i="19"/>
  <c r="K66" i="19"/>
  <c r="J66" i="19"/>
  <c r="I64" i="19"/>
  <c r="M62" i="19"/>
  <c r="M61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58" i="19"/>
  <c r="J58" i="19"/>
  <c r="X55" i="19"/>
  <c r="W55" i="19"/>
  <c r="V55" i="19"/>
  <c r="T55" i="19"/>
  <c r="S55" i="19"/>
  <c r="R55" i="19"/>
  <c r="P55" i="19"/>
  <c r="O55" i="19"/>
  <c r="N55" i="19"/>
  <c r="L55" i="19"/>
  <c r="Q54" i="19"/>
  <c r="J55" i="19"/>
  <c r="X49" i="19"/>
  <c r="W49" i="19"/>
  <c r="V49" i="19"/>
  <c r="T49" i="19"/>
  <c r="S49" i="19"/>
  <c r="R49" i="19"/>
  <c r="P49" i="19"/>
  <c r="O49" i="19"/>
  <c r="N49" i="19"/>
  <c r="L49" i="19"/>
  <c r="I48" i="19"/>
  <c r="K47" i="19"/>
  <c r="J47" i="19"/>
  <c r="I47" i="19" s="1"/>
  <c r="I46" i="19"/>
  <c r="U43" i="19"/>
  <c r="Q43" i="19"/>
  <c r="M43" i="19"/>
  <c r="I43" i="19"/>
  <c r="U42" i="19"/>
  <c r="Q42" i="19"/>
  <c r="M42" i="19"/>
  <c r="I42" i="19"/>
  <c r="X37" i="19"/>
  <c r="W37" i="19"/>
  <c r="V37" i="19"/>
  <c r="T37" i="19"/>
  <c r="S37" i="19"/>
  <c r="R37" i="19"/>
  <c r="Q37" i="19" s="1"/>
  <c r="P37" i="19"/>
  <c r="O37" i="19"/>
  <c r="N37" i="19"/>
  <c r="L37" i="19"/>
  <c r="K37" i="19"/>
  <c r="J37" i="19"/>
  <c r="U36" i="19"/>
  <c r="M36" i="19"/>
  <c r="I36" i="19"/>
  <c r="X35" i="19"/>
  <c r="W35" i="19"/>
  <c r="V35" i="19"/>
  <c r="T35" i="19"/>
  <c r="S35" i="19"/>
  <c r="R35" i="19"/>
  <c r="Q35" i="19" s="1"/>
  <c r="P35" i="19"/>
  <c r="O35" i="19"/>
  <c r="N35" i="19"/>
  <c r="L35" i="19"/>
  <c r="K35" i="19"/>
  <c r="J35" i="19"/>
  <c r="U33" i="19"/>
  <c r="Q33" i="19"/>
  <c r="M33" i="19"/>
  <c r="X32" i="19"/>
  <c r="W32" i="19"/>
  <c r="V32" i="19"/>
  <c r="T32" i="19"/>
  <c r="T38" i="19" s="1"/>
  <c r="S32" i="19"/>
  <c r="R32" i="19"/>
  <c r="P32" i="19"/>
  <c r="O32" i="19"/>
  <c r="N32" i="19"/>
  <c r="L32" i="19"/>
  <c r="K32" i="19"/>
  <c r="J32" i="19"/>
  <c r="X28" i="19"/>
  <c r="W28" i="19"/>
  <c r="V28" i="19"/>
  <c r="T28" i="19"/>
  <c r="S28" i="19"/>
  <c r="R28" i="19"/>
  <c r="Q28" i="19" s="1"/>
  <c r="P28" i="19"/>
  <c r="O28" i="19"/>
  <c r="N28" i="19"/>
  <c r="L28" i="19"/>
  <c r="K28" i="19"/>
  <c r="J28" i="19"/>
  <c r="X26" i="19"/>
  <c r="W26" i="19"/>
  <c r="V26" i="19"/>
  <c r="T26" i="19"/>
  <c r="S26" i="19"/>
  <c r="R26" i="19"/>
  <c r="P26" i="19"/>
  <c r="O26" i="19"/>
  <c r="N26" i="19"/>
  <c r="L26" i="19"/>
  <c r="K26" i="19"/>
  <c r="J26" i="19"/>
  <c r="X23" i="19"/>
  <c r="W23" i="19"/>
  <c r="V23" i="19"/>
  <c r="T23" i="19"/>
  <c r="S23" i="19"/>
  <c r="R23" i="19"/>
  <c r="Q23" i="19" s="1"/>
  <c r="P23" i="19"/>
  <c r="O23" i="19"/>
  <c r="N23" i="19"/>
  <c r="L23" i="19"/>
  <c r="K23" i="19"/>
  <c r="J23" i="19"/>
  <c r="Q22" i="19"/>
  <c r="X19" i="19"/>
  <c r="W19" i="19"/>
  <c r="V19" i="19"/>
  <c r="T19" i="19"/>
  <c r="S19" i="19"/>
  <c r="R19" i="19"/>
  <c r="P19" i="19"/>
  <c r="O19" i="19"/>
  <c r="N19" i="19"/>
  <c r="M19" i="19" s="1"/>
  <c r="L19" i="19"/>
  <c r="K19" i="19"/>
  <c r="J19" i="19"/>
  <c r="U18" i="19"/>
  <c r="Q18" i="19"/>
  <c r="M18" i="19"/>
  <c r="X16" i="19"/>
  <c r="W16" i="19"/>
  <c r="V16" i="19"/>
  <c r="T16" i="19"/>
  <c r="S16" i="19"/>
  <c r="R16" i="19"/>
  <c r="P16" i="19"/>
  <c r="O16" i="19"/>
  <c r="N16" i="19"/>
  <c r="L16" i="19"/>
  <c r="K16" i="19"/>
  <c r="J16" i="19"/>
  <c r="I16" i="19"/>
  <c r="X14" i="19"/>
  <c r="W14" i="19"/>
  <c r="V14" i="19"/>
  <c r="T14" i="19"/>
  <c r="S14" i="19"/>
  <c r="R14" i="19"/>
  <c r="P14" i="19"/>
  <c r="O14" i="19"/>
  <c r="N14" i="19"/>
  <c r="L14" i="19"/>
  <c r="K14" i="19"/>
  <c r="J14" i="19"/>
  <c r="I14" i="19" s="1"/>
  <c r="M55" i="19" l="1"/>
  <c r="I58" i="19"/>
  <c r="J166" i="19"/>
  <c r="K166" i="19"/>
  <c r="J164" i="19"/>
  <c r="J139" i="19"/>
  <c r="Q19" i="19"/>
  <c r="Q74" i="19"/>
  <c r="I118" i="19"/>
  <c r="T112" i="19"/>
  <c r="U35" i="19"/>
  <c r="S38" i="19"/>
  <c r="X112" i="19"/>
  <c r="O128" i="19"/>
  <c r="S145" i="19"/>
  <c r="K29" i="19"/>
  <c r="M28" i="19"/>
  <c r="I35" i="19"/>
  <c r="U37" i="19"/>
  <c r="Q70" i="19"/>
  <c r="Q121" i="19"/>
  <c r="I124" i="19"/>
  <c r="L38" i="19"/>
  <c r="R161" i="19"/>
  <c r="R162" i="19" s="1"/>
  <c r="I55" i="19"/>
  <c r="I127" i="19"/>
  <c r="I77" i="19"/>
  <c r="Q16" i="19"/>
  <c r="M35" i="19"/>
  <c r="J74" i="19"/>
  <c r="I74" i="19" s="1"/>
  <c r="K145" i="19"/>
  <c r="K146" i="19" s="1"/>
  <c r="V145" i="19"/>
  <c r="V146" i="19" s="1"/>
  <c r="Q171" i="19"/>
  <c r="U19" i="19"/>
  <c r="I26" i="19"/>
  <c r="I32" i="19"/>
  <c r="U55" i="19"/>
  <c r="I66" i="19"/>
  <c r="M155" i="19"/>
  <c r="I19" i="19"/>
  <c r="M151" i="19"/>
  <c r="M26" i="19"/>
  <c r="M32" i="19"/>
  <c r="M66" i="19"/>
  <c r="T29" i="19"/>
  <c r="Q93" i="19"/>
  <c r="Q98" i="19"/>
  <c r="P145" i="19"/>
  <c r="P146" i="19" s="1"/>
  <c r="Q173" i="19"/>
  <c r="L29" i="19"/>
  <c r="W29" i="19"/>
  <c r="K55" i="19"/>
  <c r="M127" i="19"/>
  <c r="M134" i="19"/>
  <c r="M144" i="19"/>
  <c r="S161" i="19"/>
  <c r="S162" i="19" s="1"/>
  <c r="W38" i="19"/>
  <c r="S112" i="19"/>
  <c r="U93" i="19"/>
  <c r="U98" i="19"/>
  <c r="P128" i="19"/>
  <c r="J145" i="19"/>
  <c r="J146" i="19" s="1"/>
  <c r="X38" i="19"/>
  <c r="U49" i="19"/>
  <c r="Q96" i="19"/>
  <c r="I28" i="19"/>
  <c r="O38" i="19"/>
  <c r="K60" i="19"/>
  <c r="I107" i="19"/>
  <c r="U124" i="19"/>
  <c r="Q127" i="19"/>
  <c r="Q134" i="19"/>
  <c r="L145" i="19"/>
  <c r="W145" i="19"/>
  <c r="W146" i="19" s="1"/>
  <c r="L161" i="19"/>
  <c r="L162" i="19" s="1"/>
  <c r="W112" i="19"/>
  <c r="T128" i="19"/>
  <c r="N29" i="19"/>
  <c r="Q55" i="19"/>
  <c r="I60" i="19"/>
  <c r="M74" i="19"/>
  <c r="U74" i="19"/>
  <c r="I79" i="19"/>
  <c r="J79" i="19"/>
  <c r="I104" i="19"/>
  <c r="S146" i="19"/>
  <c r="M158" i="19"/>
  <c r="U158" i="19"/>
  <c r="M160" i="19"/>
  <c r="U160" i="19"/>
  <c r="O145" i="19"/>
  <c r="O161" i="19"/>
  <c r="O162" i="19" s="1"/>
  <c r="M16" i="19"/>
  <c r="P29" i="19"/>
  <c r="M29" i="19" s="1"/>
  <c r="U26" i="19"/>
  <c r="K38" i="19"/>
  <c r="U32" i="19"/>
  <c r="Q49" i="19"/>
  <c r="X87" i="19"/>
  <c r="I85" i="19"/>
  <c r="M86" i="19"/>
  <c r="P112" i="19"/>
  <c r="M96" i="19"/>
  <c r="O112" i="19"/>
  <c r="I111" i="19"/>
  <c r="K128" i="19"/>
  <c r="R128" i="19"/>
  <c r="Q128" i="19" s="1"/>
  <c r="Q124" i="19"/>
  <c r="U144" i="19"/>
  <c r="U153" i="19"/>
  <c r="X174" i="19"/>
  <c r="Q165" i="19"/>
  <c r="Q167" i="19"/>
  <c r="I168" i="19"/>
  <c r="Q169" i="19"/>
  <c r="H148" i="12"/>
  <c r="U172" i="19"/>
  <c r="R152" i="12"/>
  <c r="W87" i="19"/>
  <c r="W174" i="19"/>
  <c r="M165" i="19"/>
  <c r="U170" i="19"/>
  <c r="R148" i="12"/>
  <c r="U14" i="19"/>
  <c r="I37" i="19"/>
  <c r="O87" i="19"/>
  <c r="R112" i="19"/>
  <c r="Q112" i="19" s="1"/>
  <c r="I93" i="19"/>
  <c r="I98" i="19"/>
  <c r="I102" i="19"/>
  <c r="S128" i="19"/>
  <c r="I133" i="19"/>
  <c r="Q133" i="19"/>
  <c r="I136" i="19"/>
  <c r="Q155" i="19"/>
  <c r="O174" i="19"/>
  <c r="I165" i="19"/>
  <c r="M166" i="19"/>
  <c r="I167" i="19"/>
  <c r="X29" i="19"/>
  <c r="X161" i="19"/>
  <c r="X162" i="19" s="1"/>
  <c r="P174" i="19"/>
  <c r="M172" i="19"/>
  <c r="J152" i="12"/>
  <c r="O29" i="19"/>
  <c r="J169" i="19"/>
  <c r="P87" i="19"/>
  <c r="M14" i="19"/>
  <c r="K169" i="19"/>
  <c r="J112" i="19"/>
  <c r="J128" i="19"/>
  <c r="V128" i="19"/>
  <c r="T145" i="19"/>
  <c r="T146" i="19" s="1"/>
  <c r="J161" i="19"/>
  <c r="T161" i="19"/>
  <c r="T162" i="19" s="1"/>
  <c r="Q164" i="19"/>
  <c r="Q166" i="19"/>
  <c r="U168" i="19"/>
  <c r="U169" i="19"/>
  <c r="U171" i="19"/>
  <c r="U173" i="19"/>
  <c r="L87" i="19"/>
  <c r="V87" i="19"/>
  <c r="Q14" i="19"/>
  <c r="U16" i="19"/>
  <c r="V29" i="19"/>
  <c r="U28" i="19"/>
  <c r="P38" i="19"/>
  <c r="M37" i="19"/>
  <c r="J60" i="19"/>
  <c r="U66" i="19"/>
  <c r="S87" i="19"/>
  <c r="U90" i="19"/>
  <c r="M93" i="19"/>
  <c r="M98" i="19"/>
  <c r="L128" i="19"/>
  <c r="W128" i="19"/>
  <c r="K161" i="19"/>
  <c r="K162" i="19" s="1"/>
  <c r="U151" i="19"/>
  <c r="P161" i="19"/>
  <c r="P162" i="19" s="1"/>
  <c r="U155" i="19"/>
  <c r="S174" i="19"/>
  <c r="U167" i="19"/>
  <c r="Q170" i="19"/>
  <c r="N148" i="12"/>
  <c r="S29" i="19"/>
  <c r="S39" i="19" s="1"/>
  <c r="I23" i="19"/>
  <c r="Q26" i="19"/>
  <c r="Q32" i="19"/>
  <c r="R38" i="19"/>
  <c r="Q38" i="19" s="1"/>
  <c r="M49" i="19"/>
  <c r="T87" i="19"/>
  <c r="T129" i="19" s="1"/>
  <c r="L112" i="19"/>
  <c r="I96" i="19"/>
  <c r="K112" i="19"/>
  <c r="N128" i="19"/>
  <c r="X128" i="19"/>
  <c r="U121" i="19"/>
  <c r="M124" i="19"/>
  <c r="M133" i="19"/>
  <c r="U133" i="19"/>
  <c r="Q144" i="19"/>
  <c r="W161" i="19"/>
  <c r="W162" i="19" s="1"/>
  <c r="Q153" i="19"/>
  <c r="T174" i="19"/>
  <c r="M167" i="19"/>
  <c r="Q168" i="19"/>
  <c r="M169" i="19"/>
  <c r="M171" i="19"/>
  <c r="Q172" i="19"/>
  <c r="N152" i="12"/>
  <c r="N145" i="19"/>
  <c r="N146" i="19" s="1"/>
  <c r="X145" i="19"/>
  <c r="X146" i="19" s="1"/>
  <c r="V174" i="19"/>
  <c r="U165" i="19"/>
  <c r="U166" i="19"/>
  <c r="I170" i="19"/>
  <c r="F148" i="12"/>
  <c r="N174" i="19"/>
  <c r="M170" i="19"/>
  <c r="J148" i="12"/>
  <c r="T39" i="19"/>
  <c r="R146" i="19"/>
  <c r="R87" i="19"/>
  <c r="K49" i="19"/>
  <c r="K87" i="19" s="1"/>
  <c r="M118" i="19"/>
  <c r="U118" i="19"/>
  <c r="N161" i="19"/>
  <c r="V161" i="19"/>
  <c r="M164" i="19"/>
  <c r="U164" i="19"/>
  <c r="J29" i="19"/>
  <c r="R29" i="19"/>
  <c r="I139" i="19"/>
  <c r="Q139" i="19"/>
  <c r="I151" i="19"/>
  <c r="Q151" i="19"/>
  <c r="I152" i="19"/>
  <c r="L174" i="19"/>
  <c r="R174" i="19"/>
  <c r="I90" i="19"/>
  <c r="Q90" i="19"/>
  <c r="N112" i="19"/>
  <c r="V112" i="19"/>
  <c r="N87" i="19"/>
  <c r="J38" i="19"/>
  <c r="J49" i="19"/>
  <c r="I49" i="19" s="1"/>
  <c r="N38" i="19"/>
  <c r="V38" i="19"/>
  <c r="M23" i="19"/>
  <c r="U23" i="19"/>
  <c r="I78" i="19"/>
  <c r="Q118" i="19"/>
  <c r="M139" i="19"/>
  <c r="U139" i="19"/>
  <c r="O146" i="19" l="1"/>
  <c r="U112" i="19"/>
  <c r="Q162" i="19"/>
  <c r="Q161" i="19"/>
  <c r="M128" i="19"/>
  <c r="Q145" i="19"/>
  <c r="L39" i="19"/>
  <c r="I145" i="19"/>
  <c r="W39" i="19"/>
  <c r="K39" i="19"/>
  <c r="U145" i="19"/>
  <c r="Q87" i="19"/>
  <c r="L146" i="19"/>
  <c r="I161" i="19"/>
  <c r="X129" i="19"/>
  <c r="P129" i="19"/>
  <c r="M87" i="19"/>
  <c r="X39" i="19"/>
  <c r="M112" i="19"/>
  <c r="O129" i="19"/>
  <c r="U29" i="19"/>
  <c r="J162" i="19"/>
  <c r="I162" i="19" s="1"/>
  <c r="P39" i="19"/>
  <c r="O39" i="19"/>
  <c r="I29" i="19"/>
  <c r="L129" i="19"/>
  <c r="U128" i="19"/>
  <c r="I128" i="19"/>
  <c r="K129" i="19"/>
  <c r="K174" i="19"/>
  <c r="I112" i="19"/>
  <c r="S129" i="19"/>
  <c r="S163" i="19" s="1"/>
  <c r="S176" i="19" s="1"/>
  <c r="Q174" i="19"/>
  <c r="U174" i="19"/>
  <c r="M145" i="19"/>
  <c r="U87" i="19"/>
  <c r="I169" i="19"/>
  <c r="W129" i="19"/>
  <c r="W163" i="19" s="1"/>
  <c r="W176" i="19" s="1"/>
  <c r="I166" i="19"/>
  <c r="M174" i="19"/>
  <c r="I38" i="19"/>
  <c r="J39" i="19"/>
  <c r="I146" i="19"/>
  <c r="U161" i="19"/>
  <c r="V162" i="19"/>
  <c r="U162" i="19" s="1"/>
  <c r="M146" i="19"/>
  <c r="U146" i="19"/>
  <c r="M161" i="19"/>
  <c r="N162" i="19"/>
  <c r="M162" i="19" s="1"/>
  <c r="V129" i="19"/>
  <c r="Q146" i="19"/>
  <c r="I164" i="19"/>
  <c r="J174" i="19"/>
  <c r="V39" i="19"/>
  <c r="U39" i="19" s="1"/>
  <c r="U38" i="19"/>
  <c r="R39" i="19"/>
  <c r="Q39" i="19" s="1"/>
  <c r="Q29" i="19"/>
  <c r="N129" i="19"/>
  <c r="N39" i="19"/>
  <c r="M38" i="19"/>
  <c r="R129" i="19"/>
  <c r="Q129" i="19" s="1"/>
  <c r="T163" i="19"/>
  <c r="T176" i="19" s="1"/>
  <c r="J87" i="19"/>
  <c r="L163" i="19" l="1"/>
  <c r="L176" i="19" s="1"/>
  <c r="U129" i="19"/>
  <c r="K163" i="19"/>
  <c r="K176" i="19" s="1"/>
  <c r="X163" i="19"/>
  <c r="X176" i="19" s="1"/>
  <c r="I39" i="19"/>
  <c r="M129" i="19"/>
  <c r="O163" i="19"/>
  <c r="P163" i="19"/>
  <c r="P176" i="19" s="1"/>
  <c r="M39" i="19"/>
  <c r="V163" i="19"/>
  <c r="V176" i="19" s="1"/>
  <c r="I174" i="19"/>
  <c r="N163" i="19"/>
  <c r="I87" i="19"/>
  <c r="J129" i="19"/>
  <c r="R163" i="19"/>
  <c r="O176" i="19" l="1"/>
  <c r="U163" i="19"/>
  <c r="U176" i="19" s="1"/>
  <c r="Q163" i="19"/>
  <c r="Q176" i="19" s="1"/>
  <c r="R176" i="19"/>
  <c r="I129" i="19"/>
  <c r="J163" i="19"/>
  <c r="N176" i="19"/>
  <c r="M163" i="19"/>
  <c r="M176" i="19" s="1"/>
  <c r="I163" i="19" l="1"/>
  <c r="I176" i="19" s="1"/>
  <c r="J176" i="19"/>
  <c r="X58" i="10" l="1"/>
  <c r="W58" i="10"/>
  <c r="V58" i="10"/>
  <c r="X57" i="10"/>
  <c r="W57" i="10"/>
  <c r="V57" i="10"/>
  <c r="X56" i="10"/>
  <c r="W56" i="10"/>
  <c r="V56" i="10"/>
  <c r="X55" i="10"/>
  <c r="W55" i="10"/>
  <c r="V55" i="10"/>
  <c r="X54" i="10"/>
  <c r="W54" i="10"/>
  <c r="V54" i="10"/>
  <c r="X53" i="10"/>
  <c r="W53" i="10"/>
  <c r="S149" i="12" s="1"/>
  <c r="V53" i="10"/>
  <c r="R149" i="12" s="1"/>
  <c r="X51" i="10"/>
  <c r="W51" i="10"/>
  <c r="V51" i="10"/>
  <c r="X50" i="10"/>
  <c r="W50" i="10"/>
  <c r="V50" i="10"/>
  <c r="T58" i="10"/>
  <c r="S58" i="10"/>
  <c r="R58" i="10"/>
  <c r="T57" i="10"/>
  <c r="S57" i="10"/>
  <c r="R57" i="10"/>
  <c r="T56" i="10"/>
  <c r="S56" i="10"/>
  <c r="R56" i="10"/>
  <c r="T55" i="10"/>
  <c r="S55" i="10"/>
  <c r="R55" i="10"/>
  <c r="T54" i="10"/>
  <c r="S54" i="10"/>
  <c r="R54" i="10"/>
  <c r="T53" i="10"/>
  <c r="P149" i="12" s="1"/>
  <c r="S53" i="10"/>
  <c r="O149" i="12" s="1"/>
  <c r="R53" i="10"/>
  <c r="N149" i="12" s="1"/>
  <c r="T51" i="10"/>
  <c r="S51" i="10"/>
  <c r="R51" i="10"/>
  <c r="T50" i="10"/>
  <c r="S50" i="10"/>
  <c r="R50" i="10"/>
  <c r="P58" i="10"/>
  <c r="O58" i="10"/>
  <c r="N58" i="10"/>
  <c r="P57" i="10"/>
  <c r="O57" i="10"/>
  <c r="N57" i="10"/>
  <c r="P56" i="10"/>
  <c r="O56" i="10"/>
  <c r="N56" i="10"/>
  <c r="P55" i="10"/>
  <c r="O55" i="10"/>
  <c r="N55" i="10"/>
  <c r="P54" i="10"/>
  <c r="O54" i="10"/>
  <c r="N54" i="10"/>
  <c r="P53" i="10"/>
  <c r="L149" i="12" s="1"/>
  <c r="O53" i="10"/>
  <c r="K149" i="12" s="1"/>
  <c r="N53" i="10"/>
  <c r="P51" i="10"/>
  <c r="O51" i="10"/>
  <c r="N51" i="10"/>
  <c r="O50" i="10"/>
  <c r="N50" i="10"/>
  <c r="J50" i="10"/>
  <c r="U58" i="10"/>
  <c r="K58" i="10"/>
  <c r="L58" i="10"/>
  <c r="J58" i="10"/>
  <c r="K51" i="10"/>
  <c r="L51" i="10"/>
  <c r="K53" i="10"/>
  <c r="L53" i="10"/>
  <c r="K54" i="10"/>
  <c r="L54" i="10"/>
  <c r="K55" i="10"/>
  <c r="L55" i="10"/>
  <c r="K56" i="10"/>
  <c r="L56" i="10"/>
  <c r="K57" i="10"/>
  <c r="J57" i="10"/>
  <c r="J56" i="10"/>
  <c r="J54" i="10"/>
  <c r="J53" i="10"/>
  <c r="F149" i="12" s="1"/>
  <c r="J51" i="10"/>
  <c r="K50" i="10"/>
  <c r="L50" i="10"/>
  <c r="L44" i="10"/>
  <c r="L57" i="10" s="1"/>
  <c r="Q43" i="10"/>
  <c r="X28" i="10"/>
  <c r="W28" i="10"/>
  <c r="V28" i="10"/>
  <c r="T28" i="10"/>
  <c r="S28" i="10"/>
  <c r="R28" i="10"/>
  <c r="O28" i="10"/>
  <c r="N28" i="10"/>
  <c r="M28" i="10" s="1"/>
  <c r="K28" i="10"/>
  <c r="J28" i="10"/>
  <c r="I28" i="10" s="1"/>
  <c r="U25" i="10"/>
  <c r="Q25" i="10"/>
  <c r="M25" i="10"/>
  <c r="I25" i="10"/>
  <c r="N15" i="10"/>
  <c r="Q58" i="10" l="1"/>
  <c r="I44" i="10"/>
  <c r="O110" i="12"/>
  <c r="U28" i="10"/>
  <c r="S59" i="10"/>
  <c r="H110" i="12"/>
  <c r="L59" i="10"/>
  <c r="K59" i="10"/>
  <c r="O59" i="10"/>
  <c r="K110" i="12"/>
  <c r="N59" i="10"/>
  <c r="M58" i="10"/>
  <c r="R59" i="10"/>
  <c r="N110" i="12"/>
  <c r="T59" i="10"/>
  <c r="P110" i="12"/>
  <c r="V59" i="10"/>
  <c r="R110" i="12"/>
  <c r="W59" i="10"/>
  <c r="S110" i="12"/>
  <c r="X59" i="10"/>
  <c r="I58" i="10"/>
  <c r="Q28" i="10"/>
  <c r="G110" i="12" l="1"/>
  <c r="T149" i="12"/>
  <c r="T110" i="12"/>
  <c r="J149" i="12"/>
  <c r="J110" i="12"/>
  <c r="G170" i="18"/>
  <c r="F170" i="18"/>
  <c r="X147" i="18"/>
  <c r="W147" i="18"/>
  <c r="V147" i="18"/>
  <c r="U147" i="18"/>
  <c r="T147" i="18"/>
  <c r="S147" i="18"/>
  <c r="R147" i="18"/>
  <c r="Q147" i="18"/>
  <c r="O147" i="18"/>
  <c r="N147" i="18"/>
  <c r="K147" i="18"/>
  <c r="J147" i="18"/>
  <c r="X146" i="18"/>
  <c r="W146" i="18"/>
  <c r="V146" i="18"/>
  <c r="T146" i="18"/>
  <c r="S146" i="18"/>
  <c r="R146" i="18"/>
  <c r="P146" i="18"/>
  <c r="O146" i="18"/>
  <c r="L146" i="18"/>
  <c r="K146" i="18"/>
  <c r="J146" i="18"/>
  <c r="X145" i="18"/>
  <c r="T143" i="12" s="1"/>
  <c r="W145" i="18"/>
  <c r="S143" i="12" s="1"/>
  <c r="V145" i="18"/>
  <c r="R143" i="12" s="1"/>
  <c r="T145" i="18"/>
  <c r="P143" i="12" s="1"/>
  <c r="S145" i="18"/>
  <c r="O143" i="12" s="1"/>
  <c r="R145" i="18"/>
  <c r="N143" i="12" s="1"/>
  <c r="P145" i="18"/>
  <c r="L143" i="12" s="1"/>
  <c r="O145" i="18"/>
  <c r="K143" i="12" s="1"/>
  <c r="N145" i="18"/>
  <c r="J143" i="12" s="1"/>
  <c r="L145" i="18"/>
  <c r="K145" i="18"/>
  <c r="J145" i="18"/>
  <c r="X144" i="18"/>
  <c r="T144" i="18"/>
  <c r="P144" i="18"/>
  <c r="K144" i="18"/>
  <c r="X143" i="18"/>
  <c r="W143" i="18"/>
  <c r="V143" i="18"/>
  <c r="U143" i="18"/>
  <c r="T143" i="18"/>
  <c r="S143" i="18"/>
  <c r="R143" i="18"/>
  <c r="Q143" i="18"/>
  <c r="P143" i="18"/>
  <c r="O143" i="18"/>
  <c r="N143" i="18"/>
  <c r="M143" i="18"/>
  <c r="X142" i="18"/>
  <c r="W142" i="18"/>
  <c r="V142" i="18"/>
  <c r="U142" i="18"/>
  <c r="T142" i="18"/>
  <c r="S142" i="18"/>
  <c r="R142" i="18"/>
  <c r="Q142" i="18"/>
  <c r="P142" i="18"/>
  <c r="O142" i="18"/>
  <c r="N142" i="18"/>
  <c r="M142" i="18"/>
  <c r="L142" i="18"/>
  <c r="K142" i="18"/>
  <c r="J142" i="18"/>
  <c r="X141" i="18"/>
  <c r="W141" i="18"/>
  <c r="V141" i="18"/>
  <c r="U141" i="18"/>
  <c r="T141" i="18"/>
  <c r="S141" i="18"/>
  <c r="R141" i="18"/>
  <c r="Q141" i="18"/>
  <c r="P141" i="18"/>
  <c r="O141" i="18"/>
  <c r="N141" i="18"/>
  <c r="M141" i="18"/>
  <c r="L141" i="18"/>
  <c r="K141" i="18"/>
  <c r="J141" i="18"/>
  <c r="I141" i="18"/>
  <c r="X139" i="18"/>
  <c r="W139" i="18"/>
  <c r="V139" i="18"/>
  <c r="U139" i="18"/>
  <c r="T139" i="18"/>
  <c r="S139" i="18"/>
  <c r="R139" i="18"/>
  <c r="Q139" i="18"/>
  <c r="P139" i="18"/>
  <c r="O139" i="18"/>
  <c r="N139" i="18"/>
  <c r="L139" i="18"/>
  <c r="K139" i="18"/>
  <c r="J139" i="18"/>
  <c r="I139" i="18"/>
  <c r="X138" i="18"/>
  <c r="W138" i="18"/>
  <c r="V138" i="18"/>
  <c r="T138" i="18"/>
  <c r="S138" i="18"/>
  <c r="R138" i="18"/>
  <c r="P138" i="18"/>
  <c r="O138" i="18"/>
  <c r="N138" i="18"/>
  <c r="L138" i="18"/>
  <c r="K138" i="18"/>
  <c r="J138" i="18"/>
  <c r="X137" i="18"/>
  <c r="W137" i="18"/>
  <c r="V137" i="18"/>
  <c r="T137" i="18"/>
  <c r="S137" i="18"/>
  <c r="R137" i="18"/>
  <c r="P137" i="18"/>
  <c r="O137" i="18"/>
  <c r="N137" i="18"/>
  <c r="L137" i="18"/>
  <c r="X136" i="18"/>
  <c r="W136" i="18"/>
  <c r="V136" i="18"/>
  <c r="U136" i="18"/>
  <c r="T136" i="18"/>
  <c r="S136" i="18"/>
  <c r="R136" i="18"/>
  <c r="Q136" i="18"/>
  <c r="P136" i="18"/>
  <c r="O136" i="18"/>
  <c r="N136" i="18"/>
  <c r="K136" i="18"/>
  <c r="X132" i="18"/>
  <c r="W132" i="18"/>
  <c r="V132" i="18"/>
  <c r="U132" i="18"/>
  <c r="T132" i="18"/>
  <c r="S132" i="18"/>
  <c r="R132" i="18"/>
  <c r="R133" i="18" s="1"/>
  <c r="Q132" i="18"/>
  <c r="P132" i="18"/>
  <c r="O132" i="18"/>
  <c r="N132" i="18"/>
  <c r="N133" i="18" s="1"/>
  <c r="M132" i="18"/>
  <c r="J132" i="18"/>
  <c r="I132" i="18"/>
  <c r="J130" i="18"/>
  <c r="I130" i="18" s="1"/>
  <c r="X129" i="18"/>
  <c r="X133" i="18" s="1"/>
  <c r="W129" i="18"/>
  <c r="V129" i="18"/>
  <c r="U129" i="18"/>
  <c r="T129" i="18"/>
  <c r="T133" i="18" s="1"/>
  <c r="S129" i="18"/>
  <c r="R129" i="18"/>
  <c r="Q129" i="18"/>
  <c r="Q133" i="18" s="1"/>
  <c r="P129" i="18"/>
  <c r="P133" i="18" s="1"/>
  <c r="O129" i="18"/>
  <c r="N129" i="18"/>
  <c r="M129" i="18"/>
  <c r="L129" i="18"/>
  <c r="L133" i="18" s="1"/>
  <c r="K129" i="18"/>
  <c r="K133" i="18" s="1"/>
  <c r="J129" i="18"/>
  <c r="I129" i="18"/>
  <c r="U128" i="18"/>
  <c r="Q128" i="18"/>
  <c r="X122" i="18"/>
  <c r="W122" i="18"/>
  <c r="V122" i="18"/>
  <c r="T122" i="18"/>
  <c r="S122" i="18"/>
  <c r="R122" i="18"/>
  <c r="P122" i="18"/>
  <c r="O122" i="18"/>
  <c r="N122" i="18"/>
  <c r="L122" i="18"/>
  <c r="K122" i="18"/>
  <c r="J122" i="18"/>
  <c r="I122" i="18"/>
  <c r="X120" i="18"/>
  <c r="U120" i="18" s="1"/>
  <c r="T120" i="18"/>
  <c r="Q120" i="18" s="1"/>
  <c r="P120" i="18"/>
  <c r="M120" i="18" s="1"/>
  <c r="L120" i="18"/>
  <c r="I120" i="18" s="1"/>
  <c r="I119" i="18"/>
  <c r="X118" i="18"/>
  <c r="V118" i="18"/>
  <c r="U118" i="18"/>
  <c r="T118" i="18"/>
  <c r="Q118" i="18" s="1"/>
  <c r="P118" i="18"/>
  <c r="J118" i="18"/>
  <c r="I118" i="18" s="1"/>
  <c r="I117" i="18"/>
  <c r="P116" i="18"/>
  <c r="O116" i="18"/>
  <c r="N116" i="18"/>
  <c r="L116" i="18"/>
  <c r="K116" i="18"/>
  <c r="J116" i="18"/>
  <c r="U112" i="18"/>
  <c r="Q112" i="18"/>
  <c r="X111" i="18"/>
  <c r="U111" i="18"/>
  <c r="T111" i="18"/>
  <c r="Q111" i="18"/>
  <c r="P111" i="18"/>
  <c r="M111" i="18"/>
  <c r="L111" i="18"/>
  <c r="I111" i="18"/>
  <c r="X109" i="18"/>
  <c r="W109" i="18"/>
  <c r="V109" i="18"/>
  <c r="T109" i="18"/>
  <c r="S109" i="18"/>
  <c r="R109" i="18"/>
  <c r="P109" i="18"/>
  <c r="O109" i="18"/>
  <c r="N109" i="18"/>
  <c r="M109" i="18"/>
  <c r="L109" i="18"/>
  <c r="K109" i="18"/>
  <c r="U108" i="18"/>
  <c r="Q108" i="18"/>
  <c r="U105" i="18"/>
  <c r="Q105" i="18"/>
  <c r="J105" i="18"/>
  <c r="J109" i="18" s="1"/>
  <c r="X104" i="18"/>
  <c r="W104" i="18"/>
  <c r="V104" i="18"/>
  <c r="U104" i="18"/>
  <c r="S104" i="18"/>
  <c r="R104" i="18"/>
  <c r="Q104" i="18"/>
  <c r="O104" i="18"/>
  <c r="N104" i="18"/>
  <c r="M104" i="18"/>
  <c r="L104" i="18"/>
  <c r="K104" i="18"/>
  <c r="J104" i="18"/>
  <c r="I104" i="18"/>
  <c r="X98" i="18"/>
  <c r="X99" i="18" s="1"/>
  <c r="W98" i="18"/>
  <c r="W99" i="18" s="1"/>
  <c r="V98" i="18"/>
  <c r="V99" i="18" s="1"/>
  <c r="T98" i="18"/>
  <c r="T99" i="18" s="1"/>
  <c r="S98" i="18"/>
  <c r="S99" i="18" s="1"/>
  <c r="R98" i="18"/>
  <c r="R99" i="18" s="1"/>
  <c r="P98" i="18"/>
  <c r="P99" i="18" s="1"/>
  <c r="O98" i="18"/>
  <c r="O99" i="18" s="1"/>
  <c r="N98" i="18"/>
  <c r="N99" i="18" s="1"/>
  <c r="I97" i="18"/>
  <c r="K96" i="18"/>
  <c r="K137" i="18" s="1"/>
  <c r="J96" i="18"/>
  <c r="I96" i="18" s="1"/>
  <c r="L95" i="18"/>
  <c r="L98" i="18" s="1"/>
  <c r="L99" i="18" s="1"/>
  <c r="J95" i="18"/>
  <c r="X92" i="18"/>
  <c r="W92" i="18"/>
  <c r="V92" i="18"/>
  <c r="T92" i="18"/>
  <c r="S92" i="18"/>
  <c r="R92" i="18"/>
  <c r="P92" i="18"/>
  <c r="O92" i="18"/>
  <c r="N92" i="18"/>
  <c r="L92" i="18"/>
  <c r="L93" i="18" s="1"/>
  <c r="K92" i="18"/>
  <c r="K93" i="18" s="1"/>
  <c r="J92" i="18"/>
  <c r="X90" i="18"/>
  <c r="W90" i="18"/>
  <c r="V90" i="18"/>
  <c r="U90" i="18"/>
  <c r="T90" i="18"/>
  <c r="S90" i="18"/>
  <c r="R90" i="18"/>
  <c r="Q90" i="18"/>
  <c r="P90" i="18"/>
  <c r="O90" i="18"/>
  <c r="N90" i="18"/>
  <c r="M90" i="18"/>
  <c r="J90" i="18"/>
  <c r="I90" i="18"/>
  <c r="X84" i="18"/>
  <c r="W84" i="18"/>
  <c r="V84" i="18"/>
  <c r="T84" i="18"/>
  <c r="S84" i="18"/>
  <c r="R84" i="18"/>
  <c r="P84" i="18"/>
  <c r="O84" i="18"/>
  <c r="N84" i="18"/>
  <c r="L84" i="18"/>
  <c r="K84" i="18"/>
  <c r="J84" i="18"/>
  <c r="U83" i="18"/>
  <c r="I83" i="18"/>
  <c r="X82" i="18"/>
  <c r="W82" i="18"/>
  <c r="V82" i="18"/>
  <c r="T82" i="18"/>
  <c r="S82" i="18"/>
  <c r="R82" i="18"/>
  <c r="O82" i="18"/>
  <c r="N82" i="18"/>
  <c r="K82" i="18"/>
  <c r="J82" i="18"/>
  <c r="P81" i="18"/>
  <c r="L81" i="18"/>
  <c r="I81" i="18" s="1"/>
  <c r="X78" i="18"/>
  <c r="W78" i="18"/>
  <c r="V78" i="18"/>
  <c r="T78" i="18"/>
  <c r="S78" i="18"/>
  <c r="R78" i="18"/>
  <c r="O78" i="18"/>
  <c r="N78" i="18"/>
  <c r="M78" i="18" s="1"/>
  <c r="K78" i="18"/>
  <c r="J78" i="18"/>
  <c r="L77" i="18"/>
  <c r="L144" i="18" s="1"/>
  <c r="L73" i="18"/>
  <c r="X72" i="18"/>
  <c r="W72" i="18"/>
  <c r="V72" i="18"/>
  <c r="U72" i="18" s="1"/>
  <c r="T72" i="18"/>
  <c r="S72" i="18"/>
  <c r="R72" i="18"/>
  <c r="P72" i="18"/>
  <c r="O72" i="18"/>
  <c r="N72" i="18"/>
  <c r="L72" i="18"/>
  <c r="J72" i="18"/>
  <c r="I71" i="18"/>
  <c r="I70" i="18"/>
  <c r="I138" i="18" s="1"/>
  <c r="I69" i="18"/>
  <c r="I142" i="18" s="1"/>
  <c r="V63" i="18"/>
  <c r="U63" i="18"/>
  <c r="R63" i="18"/>
  <c r="Q63" i="18"/>
  <c r="N63" i="18"/>
  <c r="M63" i="18"/>
  <c r="W61" i="18"/>
  <c r="V61" i="18"/>
  <c r="U61" i="18"/>
  <c r="S61" i="18"/>
  <c r="R61" i="18"/>
  <c r="Q61" i="18"/>
  <c r="P61" i="18"/>
  <c r="O61" i="18"/>
  <c r="N61" i="18"/>
  <c r="M61" i="18"/>
  <c r="K61" i="18"/>
  <c r="J61" i="18"/>
  <c r="I61" i="18"/>
  <c r="X57" i="18"/>
  <c r="X64" i="18" s="1"/>
  <c r="W57" i="18"/>
  <c r="V57" i="18"/>
  <c r="T57" i="18"/>
  <c r="S57" i="18"/>
  <c r="R57" i="18"/>
  <c r="P57" i="18"/>
  <c r="M57" i="18" s="1"/>
  <c r="O57" i="18"/>
  <c r="N57" i="18"/>
  <c r="L57" i="18"/>
  <c r="L64" i="18" s="1"/>
  <c r="K57" i="18"/>
  <c r="J56" i="18"/>
  <c r="J57" i="18" s="1"/>
  <c r="X53" i="18"/>
  <c r="W53" i="18"/>
  <c r="V53" i="18"/>
  <c r="U53" i="18"/>
  <c r="T53" i="18"/>
  <c r="S53" i="18"/>
  <c r="R53" i="18"/>
  <c r="Q53" i="18"/>
  <c r="P53" i="18"/>
  <c r="O53" i="18"/>
  <c r="N53" i="18"/>
  <c r="M53" i="18"/>
  <c r="K53" i="18"/>
  <c r="V45" i="18"/>
  <c r="U45" i="18"/>
  <c r="R45" i="18"/>
  <c r="Q45" i="18"/>
  <c r="N45" i="18"/>
  <c r="M45" i="18"/>
  <c r="J45" i="18"/>
  <c r="I45" i="18"/>
  <c r="X43" i="18"/>
  <c r="W43" i="18"/>
  <c r="T43" i="18"/>
  <c r="P43" i="18"/>
  <c r="O43" i="18"/>
  <c r="N43" i="18"/>
  <c r="K43" i="18"/>
  <c r="I42" i="18"/>
  <c r="Q40" i="18"/>
  <c r="M40" i="18"/>
  <c r="I40" i="18"/>
  <c r="L39" i="18"/>
  <c r="L43" i="18" s="1"/>
  <c r="J39" i="18"/>
  <c r="J43" i="18" s="1"/>
  <c r="X38" i="18"/>
  <c r="W38" i="18"/>
  <c r="V38" i="18"/>
  <c r="U38" i="18" s="1"/>
  <c r="T38" i="18"/>
  <c r="S38" i="18"/>
  <c r="R38" i="18"/>
  <c r="P38" i="18"/>
  <c r="O38" i="18"/>
  <c r="N38" i="18"/>
  <c r="L38" i="18"/>
  <c r="K38" i="18"/>
  <c r="I37" i="18"/>
  <c r="J35" i="18"/>
  <c r="J38" i="18" s="1"/>
  <c r="I38" i="18" s="1"/>
  <c r="X34" i="18"/>
  <c r="W34" i="18"/>
  <c r="V34" i="18"/>
  <c r="T34" i="18"/>
  <c r="S34" i="18"/>
  <c r="R34" i="18"/>
  <c r="Q34" i="18" s="1"/>
  <c r="P34" i="18"/>
  <c r="O34" i="18"/>
  <c r="N34" i="18"/>
  <c r="L34" i="18"/>
  <c r="K34" i="18"/>
  <c r="I33" i="18"/>
  <c r="J31" i="18"/>
  <c r="I31" i="18" s="1"/>
  <c r="X30" i="18"/>
  <c r="W30" i="18"/>
  <c r="V30" i="18"/>
  <c r="T30" i="18"/>
  <c r="S30" i="18"/>
  <c r="R30" i="18"/>
  <c r="P30" i="18"/>
  <c r="O30" i="18"/>
  <c r="N30" i="18"/>
  <c r="M30" i="18" s="1"/>
  <c r="L30" i="18"/>
  <c r="K30" i="18"/>
  <c r="I29" i="18"/>
  <c r="J28" i="18"/>
  <c r="I28" i="18" s="1"/>
  <c r="J27" i="18"/>
  <c r="J30" i="18" s="1"/>
  <c r="X26" i="18"/>
  <c r="W26" i="18"/>
  <c r="V26" i="18"/>
  <c r="U26" i="18" s="1"/>
  <c r="T26" i="18"/>
  <c r="S26" i="18"/>
  <c r="R26" i="18"/>
  <c r="P26" i="18"/>
  <c r="O26" i="18"/>
  <c r="N26" i="18"/>
  <c r="L26" i="18"/>
  <c r="K26" i="18"/>
  <c r="I25" i="18"/>
  <c r="Q24" i="18"/>
  <c r="I24" i="18"/>
  <c r="J23" i="18"/>
  <c r="I23" i="18" s="1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I21" i="18"/>
  <c r="J19" i="18"/>
  <c r="I19" i="18" s="1"/>
  <c r="X18" i="18"/>
  <c r="W18" i="18"/>
  <c r="V18" i="18"/>
  <c r="T18" i="18"/>
  <c r="S18" i="18"/>
  <c r="R18" i="18"/>
  <c r="P18" i="18"/>
  <c r="O18" i="18"/>
  <c r="N18" i="18"/>
  <c r="L18" i="18"/>
  <c r="K18" i="18"/>
  <c r="J17" i="18"/>
  <c r="I17" i="18" s="1"/>
  <c r="I16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I14" i="18"/>
  <c r="J12" i="18"/>
  <c r="J15" i="18" s="1"/>
  <c r="U122" i="18" l="1"/>
  <c r="I109" i="18"/>
  <c r="R93" i="18"/>
  <c r="N64" i="18"/>
  <c r="W85" i="18"/>
  <c r="W86" i="18" s="1"/>
  <c r="Q26" i="18"/>
  <c r="U109" i="18"/>
  <c r="M26" i="18"/>
  <c r="U57" i="18"/>
  <c r="U64" i="18" s="1"/>
  <c r="R123" i="18"/>
  <c r="M133" i="18"/>
  <c r="Q84" i="18"/>
  <c r="J98" i="18"/>
  <c r="Q109" i="18"/>
  <c r="I116" i="18"/>
  <c r="U133" i="18"/>
  <c r="V93" i="18"/>
  <c r="V100" i="18" s="1"/>
  <c r="I35" i="18"/>
  <c r="M34" i="18"/>
  <c r="U34" i="18"/>
  <c r="O64" i="18"/>
  <c r="O93" i="18"/>
  <c r="W123" i="18"/>
  <c r="W134" i="18" s="1"/>
  <c r="M116" i="18"/>
  <c r="Q122" i="18"/>
  <c r="V133" i="18"/>
  <c r="M139" i="18"/>
  <c r="Q18" i="18"/>
  <c r="Q57" i="18"/>
  <c r="Q64" i="18" s="1"/>
  <c r="Q72" i="18"/>
  <c r="N93" i="18"/>
  <c r="N100" i="18" s="1"/>
  <c r="P93" i="18"/>
  <c r="Q98" i="18"/>
  <c r="I27" i="18"/>
  <c r="W64" i="18"/>
  <c r="I146" i="18"/>
  <c r="I30" i="18"/>
  <c r="S85" i="18"/>
  <c r="S86" i="18" s="1"/>
  <c r="K85" i="18"/>
  <c r="K86" i="18" s="1"/>
  <c r="U84" i="18"/>
  <c r="J137" i="18"/>
  <c r="M122" i="18"/>
  <c r="J93" i="18"/>
  <c r="T93" i="18"/>
  <c r="T100" i="18" s="1"/>
  <c r="M137" i="18"/>
  <c r="O54" i="18"/>
  <c r="J26" i="18"/>
  <c r="I26" i="18" s="1"/>
  <c r="M43" i="18"/>
  <c r="M81" i="18"/>
  <c r="M147" i="18" s="1"/>
  <c r="U92" i="18"/>
  <c r="U93" i="18" s="1"/>
  <c r="M18" i="18"/>
  <c r="I43" i="18"/>
  <c r="R64" i="18"/>
  <c r="O123" i="18"/>
  <c r="O134" i="18" s="1"/>
  <c r="I105" i="18"/>
  <c r="I57" i="18"/>
  <c r="J64" i="18"/>
  <c r="I64" i="18" s="1"/>
  <c r="I145" i="18"/>
  <c r="T148" i="18"/>
  <c r="W54" i="18"/>
  <c r="W65" i="18" s="1"/>
  <c r="V54" i="18"/>
  <c r="Q38" i="18"/>
  <c r="V64" i="18"/>
  <c r="M72" i="18"/>
  <c r="U82" i="18"/>
  <c r="M84" i="18"/>
  <c r="Q92" i="18"/>
  <c r="I123" i="18"/>
  <c r="R134" i="18"/>
  <c r="Q138" i="18"/>
  <c r="N54" i="18"/>
  <c r="N65" i="18" s="1"/>
  <c r="M64" i="18"/>
  <c r="P54" i="18"/>
  <c r="X54" i="18"/>
  <c r="X65" i="18" s="1"/>
  <c r="Q30" i="18"/>
  <c r="T54" i="18"/>
  <c r="I56" i="18"/>
  <c r="P64" i="18"/>
  <c r="T64" i="18"/>
  <c r="L136" i="18"/>
  <c r="Q78" i="18"/>
  <c r="O85" i="18"/>
  <c r="O86" i="18" s="1"/>
  <c r="S93" i="18"/>
  <c r="J123" i="18"/>
  <c r="X123" i="18"/>
  <c r="X134" i="18" s="1"/>
  <c r="N148" i="18"/>
  <c r="V148" i="18"/>
  <c r="Q146" i="18"/>
  <c r="I144" i="18"/>
  <c r="X85" i="18"/>
  <c r="X86" i="18" s="1"/>
  <c r="V85" i="18"/>
  <c r="U85" i="18" s="1"/>
  <c r="K148" i="18"/>
  <c r="K123" i="18"/>
  <c r="U123" i="18"/>
  <c r="P123" i="18"/>
  <c r="P134" i="18" s="1"/>
  <c r="V123" i="18"/>
  <c r="V134" i="18" s="1"/>
  <c r="O148" i="18"/>
  <c r="W148" i="18"/>
  <c r="Q137" i="18"/>
  <c r="S148" i="18"/>
  <c r="T85" i="18"/>
  <c r="T86" i="18" s="1"/>
  <c r="L123" i="18"/>
  <c r="L134" i="18" s="1"/>
  <c r="X148" i="18"/>
  <c r="U138" i="18"/>
  <c r="R54" i="18"/>
  <c r="R65" i="18" s="1"/>
  <c r="K54" i="18"/>
  <c r="S54" i="18"/>
  <c r="J18" i="18"/>
  <c r="I18" i="18" s="1"/>
  <c r="U30" i="18"/>
  <c r="S64" i="18"/>
  <c r="U78" i="18"/>
  <c r="L100" i="18"/>
  <c r="W93" i="18"/>
  <c r="W100" i="18" s="1"/>
  <c r="K98" i="18"/>
  <c r="K99" i="18" s="1"/>
  <c r="K100" i="18" s="1"/>
  <c r="I133" i="18"/>
  <c r="M138" i="18"/>
  <c r="U146" i="18"/>
  <c r="I137" i="18"/>
  <c r="U18" i="18"/>
  <c r="L54" i="18"/>
  <c r="L65" i="18" s="1"/>
  <c r="M38" i="18"/>
  <c r="K64" i="18"/>
  <c r="L78" i="18"/>
  <c r="I78" i="18" s="1"/>
  <c r="R85" i="18"/>
  <c r="R86" i="18" s="1"/>
  <c r="Q86" i="18" s="1"/>
  <c r="I84" i="18"/>
  <c r="M92" i="18"/>
  <c r="M93" i="18" s="1"/>
  <c r="X93" i="18"/>
  <c r="X100" i="18" s="1"/>
  <c r="N123" i="18"/>
  <c r="N134" i="18" s="1"/>
  <c r="T123" i="18"/>
  <c r="T134" i="18" s="1"/>
  <c r="S123" i="18"/>
  <c r="S134" i="18" s="1"/>
  <c r="J133" i="18"/>
  <c r="R148" i="18"/>
  <c r="U137" i="18"/>
  <c r="M146" i="18"/>
  <c r="I98" i="18"/>
  <c r="J99" i="18"/>
  <c r="I99" i="18" s="1"/>
  <c r="O100" i="18"/>
  <c r="P100" i="18"/>
  <c r="Q99" i="18"/>
  <c r="R100" i="18"/>
  <c r="I15" i="18"/>
  <c r="Q93" i="18"/>
  <c r="S100" i="18"/>
  <c r="K134" i="18"/>
  <c r="Q123" i="18"/>
  <c r="Q134" i="18" s="1"/>
  <c r="U99" i="18"/>
  <c r="M99" i="18"/>
  <c r="J136" i="18"/>
  <c r="I12" i="18"/>
  <c r="J34" i="18"/>
  <c r="I34" i="18" s="1"/>
  <c r="I73" i="18"/>
  <c r="Q82" i="18"/>
  <c r="I92" i="18"/>
  <c r="I93" i="18" s="1"/>
  <c r="I95" i="18"/>
  <c r="L147" i="18"/>
  <c r="I147" i="18" s="1"/>
  <c r="N85" i="18"/>
  <c r="N86" i="18" s="1"/>
  <c r="J22" i="18"/>
  <c r="I22" i="18" s="1"/>
  <c r="I39" i="18"/>
  <c r="I77" i="18"/>
  <c r="M136" i="18"/>
  <c r="I72" i="18"/>
  <c r="L82" i="18"/>
  <c r="I82" i="18" s="1"/>
  <c r="J85" i="18"/>
  <c r="J86" i="18" s="1"/>
  <c r="M98" i="18"/>
  <c r="U98" i="18"/>
  <c r="P147" i="18"/>
  <c r="P82" i="18"/>
  <c r="P85" i="18" s="1"/>
  <c r="P86" i="18" s="1"/>
  <c r="U134" i="18" l="1"/>
  <c r="U54" i="18"/>
  <c r="U65" i="18" s="1"/>
  <c r="Q54" i="18"/>
  <c r="Q65" i="18" s="1"/>
  <c r="S65" i="18"/>
  <c r="M123" i="18"/>
  <c r="M134" i="18" s="1"/>
  <c r="V86" i="18"/>
  <c r="U86" i="18" s="1"/>
  <c r="P65" i="18"/>
  <c r="P135" i="18" s="1"/>
  <c r="M54" i="18"/>
  <c r="M65" i="18" s="1"/>
  <c r="O65" i="18"/>
  <c r="O135" i="18" s="1"/>
  <c r="O150" i="18" s="1"/>
  <c r="Q85" i="18"/>
  <c r="K65" i="18"/>
  <c r="K135" i="18" s="1"/>
  <c r="K150" i="18" s="1"/>
  <c r="T65" i="18"/>
  <c r="T135" i="18" s="1"/>
  <c r="T150" i="18" s="1"/>
  <c r="J134" i="18"/>
  <c r="I100" i="18"/>
  <c r="S135" i="18"/>
  <c r="S150" i="18" s="1"/>
  <c r="X135" i="18"/>
  <c r="X150" i="18" s="1"/>
  <c r="U100" i="18"/>
  <c r="M100" i="18"/>
  <c r="J148" i="18"/>
  <c r="Q148" i="18"/>
  <c r="R135" i="18"/>
  <c r="R150" i="18" s="1"/>
  <c r="M82" i="18"/>
  <c r="M85" i="18" s="1"/>
  <c r="V65" i="18"/>
  <c r="P148" i="18"/>
  <c r="M148" i="18" s="1"/>
  <c r="L148" i="18"/>
  <c r="J100" i="18"/>
  <c r="U148" i="18"/>
  <c r="I134" i="18"/>
  <c r="I85" i="18"/>
  <c r="W135" i="18"/>
  <c r="W150" i="18" s="1"/>
  <c r="L85" i="18"/>
  <c r="L86" i="18" s="1"/>
  <c r="L135" i="18" s="1"/>
  <c r="N135" i="18"/>
  <c r="N150" i="18" s="1"/>
  <c r="J54" i="18"/>
  <c r="J65" i="18" s="1"/>
  <c r="J135" i="18" s="1"/>
  <c r="I136" i="18"/>
  <c r="I54" i="18"/>
  <c r="I65" i="18" s="1"/>
  <c r="M86" i="18"/>
  <c r="Q100" i="18"/>
  <c r="Q135" i="18" s="1"/>
  <c r="I86" i="18" l="1"/>
  <c r="V135" i="18"/>
  <c r="V150" i="18" s="1"/>
  <c r="Q150" i="18"/>
  <c r="U135" i="18"/>
  <c r="U150" i="18" s="1"/>
  <c r="M135" i="18"/>
  <c r="M150" i="18" s="1"/>
  <c r="J150" i="18"/>
  <c r="L150" i="18"/>
  <c r="P150" i="18"/>
  <c r="I135" i="18"/>
  <c r="I148" i="18"/>
  <c r="T157" i="12"/>
  <c r="S157" i="12"/>
  <c r="R157" i="12"/>
  <c r="P157" i="12"/>
  <c r="O157" i="12"/>
  <c r="N157" i="12"/>
  <c r="L157" i="12"/>
  <c r="K157" i="12"/>
  <c r="J157" i="12"/>
  <c r="T158" i="12"/>
  <c r="S158" i="12"/>
  <c r="R158" i="12"/>
  <c r="P158" i="12"/>
  <c r="O158" i="12"/>
  <c r="N158" i="12"/>
  <c r="L158" i="12"/>
  <c r="K158" i="12"/>
  <c r="J158" i="12"/>
  <c r="T138" i="12"/>
  <c r="S138" i="12"/>
  <c r="R138" i="12"/>
  <c r="P138" i="12"/>
  <c r="O138" i="12"/>
  <c r="N138" i="12"/>
  <c r="L138" i="12"/>
  <c r="K138" i="12"/>
  <c r="J138" i="12"/>
  <c r="I150" i="18" l="1"/>
  <c r="X138" i="16" l="1"/>
  <c r="W138" i="16"/>
  <c r="V138" i="16"/>
  <c r="T138" i="16"/>
  <c r="S138" i="16"/>
  <c r="R138" i="16"/>
  <c r="P138" i="16"/>
  <c r="O138" i="16"/>
  <c r="N138" i="16"/>
  <c r="L138" i="16"/>
  <c r="K138" i="16"/>
  <c r="J138" i="16"/>
  <c r="X136" i="16"/>
  <c r="W136" i="16"/>
  <c r="V136" i="16"/>
  <c r="T136" i="16"/>
  <c r="S136" i="16"/>
  <c r="R136" i="16"/>
  <c r="P136" i="16"/>
  <c r="O136" i="16"/>
  <c r="N136" i="16"/>
  <c r="L136" i="16"/>
  <c r="K136" i="16"/>
  <c r="J136" i="16"/>
  <c r="X135" i="16"/>
  <c r="W135" i="16"/>
  <c r="V135" i="16"/>
  <c r="T135" i="16"/>
  <c r="S135" i="16"/>
  <c r="R135" i="16"/>
  <c r="O135" i="16"/>
  <c r="N135" i="16"/>
  <c r="K135" i="16"/>
  <c r="J135" i="16"/>
  <c r="X134" i="16"/>
  <c r="W134" i="16"/>
  <c r="V134" i="16"/>
  <c r="T134" i="16"/>
  <c r="S134" i="16"/>
  <c r="R134" i="16"/>
  <c r="K134" i="16"/>
  <c r="J134" i="16"/>
  <c r="X133" i="16"/>
  <c r="T151" i="12" s="1"/>
  <c r="W133" i="16"/>
  <c r="S151" i="12" s="1"/>
  <c r="V133" i="16"/>
  <c r="R151" i="12" s="1"/>
  <c r="T133" i="16"/>
  <c r="P151" i="12" s="1"/>
  <c r="S133" i="16"/>
  <c r="O151" i="12" s="1"/>
  <c r="R133" i="16"/>
  <c r="N151" i="12" s="1"/>
  <c r="P133" i="16"/>
  <c r="L151" i="12" s="1"/>
  <c r="O133" i="16"/>
  <c r="K151" i="12" s="1"/>
  <c r="N133" i="16"/>
  <c r="L133" i="16"/>
  <c r="H151" i="12" s="1"/>
  <c r="K133" i="16"/>
  <c r="G151" i="12" s="1"/>
  <c r="J133" i="16"/>
  <c r="F151" i="12" s="1"/>
  <c r="X132" i="16"/>
  <c r="W132" i="16"/>
  <c r="S150" i="12" s="1"/>
  <c r="V132" i="16"/>
  <c r="R150" i="12" s="1"/>
  <c r="T132" i="16"/>
  <c r="P150" i="12" s="1"/>
  <c r="S132" i="16"/>
  <c r="O150" i="12" s="1"/>
  <c r="R132" i="16"/>
  <c r="N150" i="12" s="1"/>
  <c r="P132" i="16"/>
  <c r="O132" i="16"/>
  <c r="K150" i="12" s="1"/>
  <c r="N132" i="16"/>
  <c r="J150" i="12" s="1"/>
  <c r="L132" i="16"/>
  <c r="K132" i="16"/>
  <c r="X131" i="16"/>
  <c r="W131" i="16"/>
  <c r="V131" i="16"/>
  <c r="T131" i="16"/>
  <c r="S131" i="16"/>
  <c r="R131" i="16"/>
  <c r="P131" i="16"/>
  <c r="O131" i="16"/>
  <c r="N131" i="16"/>
  <c r="K131" i="16"/>
  <c r="J131" i="16"/>
  <c r="X130" i="16"/>
  <c r="W130" i="16"/>
  <c r="V130" i="16"/>
  <c r="T130" i="16"/>
  <c r="S130" i="16"/>
  <c r="R130" i="16"/>
  <c r="P130" i="16"/>
  <c r="O130" i="16"/>
  <c r="N130" i="16"/>
  <c r="L130" i="16"/>
  <c r="K130" i="16"/>
  <c r="J130" i="16"/>
  <c r="X129" i="16"/>
  <c r="W129" i="16"/>
  <c r="V129" i="16"/>
  <c r="T129" i="16"/>
  <c r="S129" i="16"/>
  <c r="R129" i="16"/>
  <c r="P129" i="16"/>
  <c r="O129" i="16"/>
  <c r="N129" i="16"/>
  <c r="K129" i="16"/>
  <c r="J129" i="16"/>
  <c r="X128" i="16"/>
  <c r="T137" i="12" s="1"/>
  <c r="W128" i="16"/>
  <c r="S137" i="12" s="1"/>
  <c r="V128" i="16"/>
  <c r="T128" i="16"/>
  <c r="P137" i="12" s="1"/>
  <c r="S128" i="16"/>
  <c r="O137" i="12" s="1"/>
  <c r="R128" i="16"/>
  <c r="N137" i="12" s="1"/>
  <c r="P128" i="16"/>
  <c r="L137" i="12" s="1"/>
  <c r="O128" i="16"/>
  <c r="K137" i="12" s="1"/>
  <c r="N128" i="16"/>
  <c r="L128" i="16"/>
  <c r="K128" i="16"/>
  <c r="J128" i="16"/>
  <c r="X127" i="16"/>
  <c r="T136" i="12" s="1"/>
  <c r="W127" i="16"/>
  <c r="S136" i="12" s="1"/>
  <c r="V127" i="16"/>
  <c r="T127" i="16"/>
  <c r="P136" i="12" s="1"/>
  <c r="S127" i="16"/>
  <c r="O136" i="12" s="1"/>
  <c r="R127" i="16"/>
  <c r="N136" i="12" s="1"/>
  <c r="P127" i="16"/>
  <c r="L136" i="12" s="1"/>
  <c r="O127" i="16"/>
  <c r="K136" i="12" s="1"/>
  <c r="N127" i="16"/>
  <c r="L127" i="16"/>
  <c r="K127" i="16"/>
  <c r="J127" i="16"/>
  <c r="X126" i="16"/>
  <c r="W126" i="16"/>
  <c r="V126" i="16"/>
  <c r="T126" i="16"/>
  <c r="S126" i="16"/>
  <c r="R126" i="16"/>
  <c r="P126" i="16"/>
  <c r="O126" i="16"/>
  <c r="N126" i="16"/>
  <c r="K126" i="16"/>
  <c r="J126" i="16"/>
  <c r="X122" i="16"/>
  <c r="W122" i="16"/>
  <c r="V122" i="16"/>
  <c r="T122" i="16"/>
  <c r="S122" i="16"/>
  <c r="R122" i="16"/>
  <c r="O122" i="16"/>
  <c r="N122" i="16"/>
  <c r="K122" i="16"/>
  <c r="J122" i="16"/>
  <c r="M121" i="16"/>
  <c r="I121" i="16"/>
  <c r="U119" i="16"/>
  <c r="Q119" i="16"/>
  <c r="M119" i="16"/>
  <c r="L119" i="16"/>
  <c r="L122" i="16" s="1"/>
  <c r="I122" i="16" s="1"/>
  <c r="X118" i="16"/>
  <c r="U118" i="16"/>
  <c r="T118" i="16"/>
  <c r="Q118" i="16"/>
  <c r="P118" i="16"/>
  <c r="L118" i="16"/>
  <c r="K118" i="16"/>
  <c r="J118" i="16"/>
  <c r="M115" i="16"/>
  <c r="M118" i="16" s="1"/>
  <c r="I115" i="16"/>
  <c r="I118" i="16" s="1"/>
  <c r="P113" i="16"/>
  <c r="O113" i="16"/>
  <c r="N113" i="16"/>
  <c r="L113" i="16"/>
  <c r="K113" i="16"/>
  <c r="J113" i="16"/>
  <c r="W111" i="16"/>
  <c r="V111" i="16"/>
  <c r="U111" i="16" s="1"/>
  <c r="S111" i="16"/>
  <c r="R111" i="16"/>
  <c r="Q111" i="16" s="1"/>
  <c r="O111" i="16"/>
  <c r="N111" i="16"/>
  <c r="M111" i="16" s="1"/>
  <c r="L111" i="16"/>
  <c r="K111" i="16"/>
  <c r="J111" i="16"/>
  <c r="Q110" i="16"/>
  <c r="M110" i="16"/>
  <c r="I110" i="16"/>
  <c r="W109" i="16"/>
  <c r="V109" i="16"/>
  <c r="U109" i="16" s="1"/>
  <c r="S109" i="16"/>
  <c r="R109" i="16"/>
  <c r="Q109" i="16" s="1"/>
  <c r="O109" i="16"/>
  <c r="N109" i="16"/>
  <c r="M109" i="16" s="1"/>
  <c r="K109" i="16"/>
  <c r="J109" i="16"/>
  <c r="Q108" i="16"/>
  <c r="M108" i="16"/>
  <c r="L108" i="16"/>
  <c r="I108" i="16" s="1"/>
  <c r="W107" i="16"/>
  <c r="V107" i="16"/>
  <c r="U107" i="16" s="1"/>
  <c r="S107" i="16"/>
  <c r="R107" i="16"/>
  <c r="Q107" i="16" s="1"/>
  <c r="O107" i="16"/>
  <c r="N107" i="16"/>
  <c r="M107" i="16" s="1"/>
  <c r="L107" i="16"/>
  <c r="K107" i="16"/>
  <c r="J107" i="16"/>
  <c r="Q106" i="16"/>
  <c r="M106" i="16"/>
  <c r="I106" i="16"/>
  <c r="X105" i="16"/>
  <c r="W105" i="16"/>
  <c r="V105" i="16"/>
  <c r="T105" i="16"/>
  <c r="S105" i="16"/>
  <c r="R105" i="16"/>
  <c r="P105" i="16"/>
  <c r="O105" i="16"/>
  <c r="N105" i="16"/>
  <c r="L105" i="16"/>
  <c r="K105" i="16"/>
  <c r="J105" i="16"/>
  <c r="Q104" i="16"/>
  <c r="M104" i="16"/>
  <c r="I104" i="16"/>
  <c r="Q103" i="16"/>
  <c r="M103" i="16"/>
  <c r="I103" i="16"/>
  <c r="X102" i="16"/>
  <c r="W102" i="16"/>
  <c r="V102" i="16"/>
  <c r="T102" i="16"/>
  <c r="S102" i="16"/>
  <c r="R102" i="16"/>
  <c r="P102" i="16"/>
  <c r="O102" i="16"/>
  <c r="N102" i="16"/>
  <c r="L102" i="16"/>
  <c r="K102" i="16"/>
  <c r="J102" i="16"/>
  <c r="Q101" i="16"/>
  <c r="M101" i="16"/>
  <c r="I101" i="16"/>
  <c r="X100" i="16"/>
  <c r="W100" i="16"/>
  <c r="V100" i="16"/>
  <c r="T100" i="16"/>
  <c r="S100" i="16"/>
  <c r="R100" i="16"/>
  <c r="P100" i="16"/>
  <c r="O100" i="16"/>
  <c r="N100" i="16"/>
  <c r="L100" i="16"/>
  <c r="K100" i="16"/>
  <c r="J100" i="16"/>
  <c r="Q99" i="16"/>
  <c r="M99" i="16"/>
  <c r="I99" i="16"/>
  <c r="X98" i="16"/>
  <c r="W98" i="16"/>
  <c r="V98" i="16"/>
  <c r="T98" i="16"/>
  <c r="S98" i="16"/>
  <c r="R98" i="16"/>
  <c r="P98" i="16"/>
  <c r="O98" i="16"/>
  <c r="N98" i="16"/>
  <c r="L98" i="16"/>
  <c r="K98" i="16"/>
  <c r="J98" i="16"/>
  <c r="Q97" i="16"/>
  <c r="M97" i="16"/>
  <c r="I97" i="16"/>
  <c r="X96" i="16"/>
  <c r="W96" i="16"/>
  <c r="V96" i="16"/>
  <c r="T96" i="16"/>
  <c r="S96" i="16"/>
  <c r="R96" i="16"/>
  <c r="P96" i="16"/>
  <c r="O96" i="16"/>
  <c r="N96" i="16"/>
  <c r="L96" i="16"/>
  <c r="K96" i="16"/>
  <c r="J96" i="16"/>
  <c r="Q95" i="16"/>
  <c r="M95" i="16"/>
  <c r="I95" i="16"/>
  <c r="X94" i="16"/>
  <c r="W94" i="16"/>
  <c r="V94" i="16"/>
  <c r="T94" i="16"/>
  <c r="S94" i="16"/>
  <c r="R94" i="16"/>
  <c r="P94" i="16"/>
  <c r="O94" i="16"/>
  <c r="N94" i="16"/>
  <c r="L94" i="16"/>
  <c r="K94" i="16"/>
  <c r="J94" i="16"/>
  <c r="Q93" i="16"/>
  <c r="M93" i="16"/>
  <c r="I93" i="16"/>
  <c r="X92" i="16"/>
  <c r="W92" i="16"/>
  <c r="V92" i="16"/>
  <c r="T92" i="16"/>
  <c r="S92" i="16"/>
  <c r="R92" i="16"/>
  <c r="P92" i="16"/>
  <c r="O92" i="16"/>
  <c r="N92" i="16"/>
  <c r="K92" i="16"/>
  <c r="J92" i="16"/>
  <c r="Q91" i="16"/>
  <c r="M91" i="16"/>
  <c r="L91" i="16"/>
  <c r="I91" i="16" s="1"/>
  <c r="X90" i="16"/>
  <c r="W90" i="16"/>
  <c r="V90" i="16"/>
  <c r="T90" i="16"/>
  <c r="S90" i="16"/>
  <c r="R90" i="16"/>
  <c r="P90" i="16"/>
  <c r="O90" i="16"/>
  <c r="N90" i="16"/>
  <c r="L90" i="16"/>
  <c r="K90" i="16"/>
  <c r="J90" i="16"/>
  <c r="Q89" i="16"/>
  <c r="M89" i="16"/>
  <c r="I89" i="16"/>
  <c r="X86" i="16"/>
  <c r="W86" i="16"/>
  <c r="V86" i="16"/>
  <c r="T86" i="16"/>
  <c r="S86" i="16"/>
  <c r="R86" i="16"/>
  <c r="P86" i="16"/>
  <c r="O86" i="16"/>
  <c r="N86" i="16"/>
  <c r="L86" i="16"/>
  <c r="K86" i="16"/>
  <c r="J86" i="16"/>
  <c r="U85" i="16"/>
  <c r="Q85" i="16"/>
  <c r="M85" i="16"/>
  <c r="I85" i="16"/>
  <c r="X84" i="16"/>
  <c r="W84" i="16"/>
  <c r="V84" i="16"/>
  <c r="T84" i="16"/>
  <c r="S84" i="16"/>
  <c r="R84" i="16"/>
  <c r="P84" i="16"/>
  <c r="O84" i="16"/>
  <c r="N84" i="16"/>
  <c r="L84" i="16"/>
  <c r="K84" i="16"/>
  <c r="J84" i="16"/>
  <c r="U83" i="16"/>
  <c r="Q83" i="16"/>
  <c r="M83" i="16"/>
  <c r="I83" i="16"/>
  <c r="X82" i="16"/>
  <c r="V82" i="16"/>
  <c r="T82" i="16"/>
  <c r="R82" i="16"/>
  <c r="P82" i="16"/>
  <c r="N82" i="16"/>
  <c r="J82" i="16"/>
  <c r="L81" i="16"/>
  <c r="I81" i="16" s="1"/>
  <c r="X80" i="16"/>
  <c r="V80" i="16"/>
  <c r="T80" i="16"/>
  <c r="R80" i="16"/>
  <c r="P80" i="16"/>
  <c r="N80" i="16"/>
  <c r="J80" i="16"/>
  <c r="I80" i="16" s="1"/>
  <c r="X78" i="16"/>
  <c r="V78" i="16"/>
  <c r="T78" i="16"/>
  <c r="R78" i="16"/>
  <c r="Q78" i="16"/>
  <c r="P78" i="16"/>
  <c r="N78" i="16"/>
  <c r="L78" i="16"/>
  <c r="J78" i="16"/>
  <c r="I77" i="16"/>
  <c r="I76" i="16"/>
  <c r="X75" i="16"/>
  <c r="W75" i="16"/>
  <c r="V75" i="16"/>
  <c r="T75" i="16"/>
  <c r="S75" i="16"/>
  <c r="R75" i="16"/>
  <c r="P75" i="16"/>
  <c r="O75" i="16"/>
  <c r="N75" i="16"/>
  <c r="K75" i="16"/>
  <c r="J75" i="16"/>
  <c r="M74" i="16"/>
  <c r="L129" i="16"/>
  <c r="M73" i="16"/>
  <c r="I73" i="16"/>
  <c r="M72" i="16"/>
  <c r="U71" i="16"/>
  <c r="Q71" i="16"/>
  <c r="M71" i="16"/>
  <c r="I71" i="16"/>
  <c r="X70" i="16"/>
  <c r="V70" i="16"/>
  <c r="T70" i="16"/>
  <c r="R70" i="16"/>
  <c r="P70" i="16"/>
  <c r="L70" i="16"/>
  <c r="M69" i="16"/>
  <c r="J69" i="16"/>
  <c r="J70" i="16" s="1"/>
  <c r="X68" i="16"/>
  <c r="V68" i="16"/>
  <c r="T68" i="16"/>
  <c r="R68" i="16"/>
  <c r="P68" i="16"/>
  <c r="N68" i="16"/>
  <c r="L68" i="16"/>
  <c r="J68" i="16"/>
  <c r="M65" i="16"/>
  <c r="X63" i="16"/>
  <c r="W63" i="16"/>
  <c r="T63" i="16"/>
  <c r="S63" i="16"/>
  <c r="P63" i="16"/>
  <c r="O63" i="16"/>
  <c r="L62" i="16"/>
  <c r="L63" i="16" s="1"/>
  <c r="K62" i="16"/>
  <c r="K63" i="16" s="1"/>
  <c r="J62" i="16"/>
  <c r="J63" i="16" s="1"/>
  <c r="V58" i="16"/>
  <c r="V63" i="16" s="1"/>
  <c r="R58" i="16"/>
  <c r="Q58" i="16" s="1"/>
  <c r="N58" i="16"/>
  <c r="M58" i="16" s="1"/>
  <c r="U57" i="16"/>
  <c r="Q57" i="16"/>
  <c r="M57" i="16"/>
  <c r="P49" i="16"/>
  <c r="M49" i="16" s="1"/>
  <c r="L49" i="16"/>
  <c r="J49" i="16"/>
  <c r="M48" i="16"/>
  <c r="I48" i="16"/>
  <c r="P47" i="16"/>
  <c r="M47" i="16" s="1"/>
  <c r="L47" i="16"/>
  <c r="I47" i="16" s="1"/>
  <c r="M46" i="16"/>
  <c r="I46" i="16"/>
  <c r="P45" i="16"/>
  <c r="M45" i="16" s="1"/>
  <c r="L45" i="16"/>
  <c r="J45" i="16"/>
  <c r="M44" i="16"/>
  <c r="I44" i="16"/>
  <c r="P43" i="16"/>
  <c r="M43" i="16" s="1"/>
  <c r="L43" i="16"/>
  <c r="I43" i="16" s="1"/>
  <c r="M42" i="16"/>
  <c r="I42" i="16"/>
  <c r="P41" i="16"/>
  <c r="M41" i="16" s="1"/>
  <c r="L41" i="16"/>
  <c r="I41" i="16" s="1"/>
  <c r="I40" i="16"/>
  <c r="P39" i="16"/>
  <c r="M39" i="16" s="1"/>
  <c r="L39" i="16"/>
  <c r="I39" i="16" s="1"/>
  <c r="K39" i="16"/>
  <c r="M38" i="16"/>
  <c r="M36" i="16"/>
  <c r="I36" i="16"/>
  <c r="X35" i="16"/>
  <c r="V35" i="16"/>
  <c r="T35" i="16"/>
  <c r="R35" i="16"/>
  <c r="P35" i="16"/>
  <c r="N35" i="16"/>
  <c r="L35" i="16"/>
  <c r="J35" i="16"/>
  <c r="I35" i="16"/>
  <c r="U34" i="16"/>
  <c r="Q34" i="16"/>
  <c r="X33" i="16"/>
  <c r="W33" i="16"/>
  <c r="V33" i="16"/>
  <c r="T33" i="16"/>
  <c r="S33" i="16"/>
  <c r="R33" i="16"/>
  <c r="P33" i="16"/>
  <c r="O33" i="16"/>
  <c r="N33" i="16"/>
  <c r="K33" i="16"/>
  <c r="J33" i="16"/>
  <c r="I32" i="16"/>
  <c r="L31" i="16"/>
  <c r="I31" i="16" s="1"/>
  <c r="Q30" i="16"/>
  <c r="M30" i="16"/>
  <c r="L30" i="16"/>
  <c r="I30" i="16" s="1"/>
  <c r="X29" i="16"/>
  <c r="W29" i="16"/>
  <c r="V29" i="16"/>
  <c r="T29" i="16"/>
  <c r="S29" i="16"/>
  <c r="R29" i="16"/>
  <c r="O29" i="16"/>
  <c r="N29" i="16"/>
  <c r="K29" i="16"/>
  <c r="J29" i="16"/>
  <c r="M28" i="16"/>
  <c r="Q27" i="16"/>
  <c r="P135" i="16"/>
  <c r="L27" i="16"/>
  <c r="L29" i="16" s="1"/>
  <c r="W25" i="16"/>
  <c r="V25" i="16"/>
  <c r="S25" i="16"/>
  <c r="R25" i="16"/>
  <c r="O25" i="16"/>
  <c r="N25" i="16"/>
  <c r="K25" i="16"/>
  <c r="J25" i="16"/>
  <c r="X24" i="16"/>
  <c r="U24" i="16" s="1"/>
  <c r="T24" i="16"/>
  <c r="Q24" i="16" s="1"/>
  <c r="P24" i="16"/>
  <c r="M24" i="16" s="1"/>
  <c r="L24" i="16"/>
  <c r="I24" i="16" s="1"/>
  <c r="U23" i="16"/>
  <c r="Q23" i="16"/>
  <c r="M23" i="16"/>
  <c r="X22" i="16"/>
  <c r="U22" i="16" s="1"/>
  <c r="T22" i="16"/>
  <c r="Q22" i="16" s="1"/>
  <c r="P22" i="16"/>
  <c r="M22" i="16" s="1"/>
  <c r="L22" i="16"/>
  <c r="I22" i="16" s="1"/>
  <c r="U21" i="16"/>
  <c r="Q21" i="16"/>
  <c r="M21" i="16"/>
  <c r="X20" i="16"/>
  <c r="U20" i="16" s="1"/>
  <c r="T20" i="16"/>
  <c r="Q20" i="16" s="1"/>
  <c r="P20" i="16"/>
  <c r="M20" i="16" s="1"/>
  <c r="L20" i="16"/>
  <c r="I20" i="16" s="1"/>
  <c r="U19" i="16"/>
  <c r="Q19" i="16"/>
  <c r="M19" i="16"/>
  <c r="X18" i="16"/>
  <c r="U18" i="16" s="1"/>
  <c r="T18" i="16"/>
  <c r="Q18" i="16" s="1"/>
  <c r="P18" i="16"/>
  <c r="M18" i="16" s="1"/>
  <c r="L18" i="16"/>
  <c r="I18" i="16" s="1"/>
  <c r="U17" i="16"/>
  <c r="Q17" i="16"/>
  <c r="M17" i="16"/>
  <c r="X16" i="16"/>
  <c r="U16" i="16" s="1"/>
  <c r="T16" i="16"/>
  <c r="Q16" i="16" s="1"/>
  <c r="M16" i="16"/>
  <c r="L16" i="16"/>
  <c r="I16" i="16" s="1"/>
  <c r="U14" i="16"/>
  <c r="Q14" i="16"/>
  <c r="X13" i="16"/>
  <c r="U13" i="16" s="1"/>
  <c r="T13" i="16"/>
  <c r="Q13" i="16" s="1"/>
  <c r="P13" i="16"/>
  <c r="M13" i="16" s="1"/>
  <c r="L13" i="16"/>
  <c r="I13" i="16" s="1"/>
  <c r="U12" i="16"/>
  <c r="Q12" i="16"/>
  <c r="Q90" i="16" l="1"/>
  <c r="U94" i="16"/>
  <c r="Q86" i="16"/>
  <c r="U92" i="16"/>
  <c r="Q102" i="16"/>
  <c r="I107" i="16"/>
  <c r="I111" i="16"/>
  <c r="I68" i="16"/>
  <c r="U33" i="16"/>
  <c r="U75" i="16"/>
  <c r="Q100" i="16"/>
  <c r="I84" i="16"/>
  <c r="I86" i="16"/>
  <c r="Q98" i="16"/>
  <c r="U100" i="16"/>
  <c r="U63" i="16"/>
  <c r="Q92" i="16"/>
  <c r="I78" i="16"/>
  <c r="M100" i="16"/>
  <c r="N53" i="16"/>
  <c r="W53" i="16"/>
  <c r="W54" i="16" s="1"/>
  <c r="U35" i="16"/>
  <c r="M75" i="16"/>
  <c r="U90" i="16"/>
  <c r="M96" i="16"/>
  <c r="I98" i="16"/>
  <c r="I102" i="16"/>
  <c r="M102" i="16"/>
  <c r="P87" i="16"/>
  <c r="M94" i="16"/>
  <c r="M113" i="16"/>
  <c r="Q126" i="16"/>
  <c r="U84" i="16"/>
  <c r="Q33" i="16"/>
  <c r="U80" i="16"/>
  <c r="M105" i="16"/>
  <c r="U105" i="16"/>
  <c r="V53" i="16"/>
  <c r="V54" i="16" s="1"/>
  <c r="U135" i="16"/>
  <c r="Q129" i="16"/>
  <c r="I70" i="16"/>
  <c r="S87" i="16"/>
  <c r="M84" i="16"/>
  <c r="I96" i="16"/>
  <c r="X53" i="16"/>
  <c r="I45" i="16"/>
  <c r="M80" i="16"/>
  <c r="M82" i="16"/>
  <c r="M134" i="16"/>
  <c r="M136" i="16"/>
  <c r="U68" i="16"/>
  <c r="U70" i="16"/>
  <c r="Q105" i="16"/>
  <c r="Q29" i="16"/>
  <c r="I94" i="16"/>
  <c r="U96" i="16"/>
  <c r="U98" i="16"/>
  <c r="I119" i="16"/>
  <c r="Q128" i="16"/>
  <c r="Q132" i="16"/>
  <c r="Q130" i="16"/>
  <c r="O53" i="16"/>
  <c r="O54" i="16" s="1"/>
  <c r="U86" i="16"/>
  <c r="M98" i="16"/>
  <c r="M138" i="16"/>
  <c r="N54" i="16"/>
  <c r="X87" i="16"/>
  <c r="I27" i="16"/>
  <c r="M68" i="16"/>
  <c r="K87" i="16"/>
  <c r="M86" i="16"/>
  <c r="W87" i="16"/>
  <c r="M90" i="16"/>
  <c r="Q122" i="16"/>
  <c r="Q127" i="16"/>
  <c r="O139" i="16"/>
  <c r="X139" i="16"/>
  <c r="U132" i="16"/>
  <c r="T150" i="12"/>
  <c r="Q135" i="16"/>
  <c r="U29" i="16"/>
  <c r="S53" i="16"/>
  <c r="S54" i="16" s="1"/>
  <c r="I49" i="16"/>
  <c r="U58" i="16"/>
  <c r="M70" i="16"/>
  <c r="Q84" i="16"/>
  <c r="O87" i="16"/>
  <c r="M92" i="16"/>
  <c r="I100" i="16"/>
  <c r="P139" i="16"/>
  <c r="I127" i="16"/>
  <c r="I130" i="16"/>
  <c r="M132" i="16"/>
  <c r="L150" i="12"/>
  <c r="U136" i="16"/>
  <c r="I113" i="16"/>
  <c r="U128" i="16"/>
  <c r="R137" i="12"/>
  <c r="M128" i="16"/>
  <c r="J137" i="12"/>
  <c r="M131" i="16"/>
  <c r="J123" i="16"/>
  <c r="U131" i="16"/>
  <c r="Q82" i="16"/>
  <c r="R123" i="16"/>
  <c r="K123" i="16"/>
  <c r="I29" i="16"/>
  <c r="P29" i="16"/>
  <c r="M29" i="16" s="1"/>
  <c r="M33" i="16"/>
  <c r="M35" i="16"/>
  <c r="I69" i="16"/>
  <c r="Q70" i="16"/>
  <c r="L131" i="16"/>
  <c r="U82" i="16"/>
  <c r="R87" i="16"/>
  <c r="W123" i="16"/>
  <c r="S123" i="16"/>
  <c r="N123" i="16"/>
  <c r="U122" i="16"/>
  <c r="U127" i="16"/>
  <c r="R136" i="12"/>
  <c r="Q131" i="16"/>
  <c r="J132" i="16"/>
  <c r="M133" i="16"/>
  <c r="J151" i="12"/>
  <c r="I151" i="12" s="1"/>
  <c r="Q134" i="16"/>
  <c r="Q138" i="16"/>
  <c r="K139" i="16"/>
  <c r="M135" i="16"/>
  <c r="M122" i="16"/>
  <c r="M127" i="16"/>
  <c r="J136" i="12"/>
  <c r="L135" i="16"/>
  <c r="I138" i="16"/>
  <c r="R139" i="16"/>
  <c r="N87" i="16"/>
  <c r="V123" i="16"/>
  <c r="R63" i="16"/>
  <c r="Q63" i="16" s="1"/>
  <c r="L25" i="16"/>
  <c r="I25" i="16" s="1"/>
  <c r="L33" i="16"/>
  <c r="L53" i="16" s="1"/>
  <c r="Q35" i="16"/>
  <c r="I74" i="16"/>
  <c r="T87" i="16"/>
  <c r="Q80" i="16"/>
  <c r="L82" i="16"/>
  <c r="I82" i="16" s="1"/>
  <c r="I90" i="16"/>
  <c r="Q96" i="16"/>
  <c r="P123" i="16"/>
  <c r="I105" i="16"/>
  <c r="U126" i="16"/>
  <c r="U129" i="16"/>
  <c r="U130" i="16"/>
  <c r="Q136" i="16"/>
  <c r="S139" i="16"/>
  <c r="X123" i="16"/>
  <c r="X124" i="16" s="1"/>
  <c r="T53" i="16"/>
  <c r="K53" i="16"/>
  <c r="K54" i="16" s="1"/>
  <c r="Q68" i="16"/>
  <c r="I129" i="16"/>
  <c r="Q75" i="16"/>
  <c r="V87" i="16"/>
  <c r="U87" i="16" s="1"/>
  <c r="Q94" i="16"/>
  <c r="U102" i="16"/>
  <c r="T123" i="16"/>
  <c r="M126" i="16"/>
  <c r="W139" i="16"/>
  <c r="I128" i="16"/>
  <c r="M129" i="16"/>
  <c r="M130" i="16"/>
  <c r="L134" i="16"/>
  <c r="U134" i="16"/>
  <c r="I136" i="16"/>
  <c r="U138" i="16"/>
  <c r="T139" i="16"/>
  <c r="L75" i="16"/>
  <c r="I75" i="16" s="1"/>
  <c r="O123" i="16"/>
  <c r="P25" i="16"/>
  <c r="M27" i="16"/>
  <c r="N63" i="16"/>
  <c r="M63" i="16" s="1"/>
  <c r="L92" i="16"/>
  <c r="I92" i="16" s="1"/>
  <c r="N139" i="16"/>
  <c r="V139" i="16"/>
  <c r="U139" i="16" s="1"/>
  <c r="J87" i="16"/>
  <c r="T25" i="16"/>
  <c r="J53" i="16"/>
  <c r="R53" i="16"/>
  <c r="L109" i="16"/>
  <c r="I109" i="16" s="1"/>
  <c r="L126" i="16"/>
  <c r="X25" i="16"/>
  <c r="S124" i="16" l="1"/>
  <c r="S125" i="16" s="1"/>
  <c r="S141" i="16" s="1"/>
  <c r="M87" i="16"/>
  <c r="P124" i="16"/>
  <c r="U53" i="16"/>
  <c r="Q53" i="16"/>
  <c r="K124" i="16"/>
  <c r="K125" i="16" s="1"/>
  <c r="K141" i="16" s="1"/>
  <c r="L54" i="16"/>
  <c r="U123" i="16"/>
  <c r="P53" i="16"/>
  <c r="M53" i="16" s="1"/>
  <c r="W124" i="16"/>
  <c r="W125" i="16" s="1"/>
  <c r="W141" i="16" s="1"/>
  <c r="J124" i="16"/>
  <c r="V124" i="16"/>
  <c r="U124" i="16" s="1"/>
  <c r="I134" i="16"/>
  <c r="Q123" i="16"/>
  <c r="M139" i="16"/>
  <c r="M144" i="16" s="1"/>
  <c r="L123" i="16"/>
  <c r="F150" i="12"/>
  <c r="I132" i="16"/>
  <c r="O124" i="16"/>
  <c r="O125" i="16" s="1"/>
  <c r="O141" i="16" s="1"/>
  <c r="R124" i="16"/>
  <c r="M123" i="16"/>
  <c r="Q87" i="16"/>
  <c r="I33" i="16"/>
  <c r="I53" i="16"/>
  <c r="J139" i="16"/>
  <c r="J54" i="16"/>
  <c r="I131" i="16"/>
  <c r="I135" i="16"/>
  <c r="R54" i="16"/>
  <c r="T124" i="16"/>
  <c r="Q139" i="16"/>
  <c r="L139" i="16"/>
  <c r="I126" i="16"/>
  <c r="L87" i="16"/>
  <c r="I87" i="16" s="1"/>
  <c r="N124" i="16"/>
  <c r="M25" i="16"/>
  <c r="J125" i="16"/>
  <c r="T54" i="16"/>
  <c r="Q25" i="16"/>
  <c r="U25" i="16"/>
  <c r="X54" i="16"/>
  <c r="I54" i="16" l="1"/>
  <c r="V125" i="16"/>
  <c r="P54" i="16"/>
  <c r="P125" i="16" s="1"/>
  <c r="P141" i="16" s="1"/>
  <c r="I139" i="16"/>
  <c r="R125" i="16"/>
  <c r="R141" i="16" s="1"/>
  <c r="L124" i="16"/>
  <c r="L125" i="16" s="1"/>
  <c r="L141" i="16" s="1"/>
  <c r="I123" i="16"/>
  <c r="Q124" i="16"/>
  <c r="T125" i="16"/>
  <c r="T141" i="16" s="1"/>
  <c r="V141" i="16"/>
  <c r="M124" i="16"/>
  <c r="N125" i="16"/>
  <c r="Q54" i="16"/>
  <c r="X125" i="16"/>
  <c r="X141" i="16" s="1"/>
  <c r="U54" i="16"/>
  <c r="J141" i="16"/>
  <c r="I125" i="16" l="1"/>
  <c r="I141" i="16" s="1"/>
  <c r="M54" i="16"/>
  <c r="I124" i="16"/>
  <c r="Q125" i="16"/>
  <c r="Q141" i="16" s="1"/>
  <c r="M125" i="16"/>
  <c r="M141" i="16" s="1"/>
  <c r="N141" i="16"/>
  <c r="U125" i="16"/>
  <c r="U141" i="16" s="1"/>
  <c r="X109" i="15" l="1"/>
  <c r="W109" i="15"/>
  <c r="V109" i="15"/>
  <c r="T109" i="15"/>
  <c r="S109" i="15"/>
  <c r="R109" i="15"/>
  <c r="P109" i="15"/>
  <c r="O109" i="15"/>
  <c r="N109" i="15"/>
  <c r="L109" i="15"/>
  <c r="K109" i="15"/>
  <c r="J109" i="15"/>
  <c r="X108" i="15"/>
  <c r="W108" i="15"/>
  <c r="V108" i="15"/>
  <c r="T108" i="15"/>
  <c r="S108" i="15"/>
  <c r="R108" i="15"/>
  <c r="P108" i="15"/>
  <c r="O108" i="15"/>
  <c r="N108" i="15"/>
  <c r="K108" i="15"/>
  <c r="X107" i="15"/>
  <c r="W107" i="15"/>
  <c r="V107" i="15"/>
  <c r="T107" i="15"/>
  <c r="S107" i="15"/>
  <c r="R107" i="15"/>
  <c r="P107" i="15"/>
  <c r="O107" i="15"/>
  <c r="N107" i="15"/>
  <c r="L107" i="15"/>
  <c r="K107" i="15"/>
  <c r="J107" i="15"/>
  <c r="X106" i="15"/>
  <c r="T134" i="12" s="1"/>
  <c r="W106" i="15"/>
  <c r="S134" i="12" s="1"/>
  <c r="V106" i="15"/>
  <c r="T106" i="15"/>
  <c r="P134" i="12" s="1"/>
  <c r="S106" i="15"/>
  <c r="O134" i="12" s="1"/>
  <c r="R106" i="15"/>
  <c r="N134" i="12" s="1"/>
  <c r="P106" i="15"/>
  <c r="L134" i="12" s="1"/>
  <c r="O106" i="15"/>
  <c r="K134" i="12" s="1"/>
  <c r="N106" i="15"/>
  <c r="L106" i="15"/>
  <c r="K106" i="15"/>
  <c r="J106" i="15"/>
  <c r="F134" i="12" s="1"/>
  <c r="X105" i="15"/>
  <c r="W105" i="15"/>
  <c r="V105" i="15"/>
  <c r="T105" i="15"/>
  <c r="S105" i="15"/>
  <c r="R105" i="15"/>
  <c r="P105" i="15"/>
  <c r="O105" i="15"/>
  <c r="N105" i="15"/>
  <c r="X102" i="15"/>
  <c r="W102" i="15"/>
  <c r="V102" i="15"/>
  <c r="T102" i="15"/>
  <c r="S102" i="15"/>
  <c r="R102" i="15"/>
  <c r="P102" i="15"/>
  <c r="O102" i="15"/>
  <c r="N102" i="15"/>
  <c r="L102" i="15"/>
  <c r="X101" i="15"/>
  <c r="W101" i="15"/>
  <c r="V101" i="15"/>
  <c r="T101" i="15"/>
  <c r="S101" i="15"/>
  <c r="R101" i="15"/>
  <c r="P101" i="15"/>
  <c r="O101" i="15"/>
  <c r="N101" i="15"/>
  <c r="K101" i="15"/>
  <c r="J101" i="15"/>
  <c r="X95" i="15"/>
  <c r="X98" i="15" s="1"/>
  <c r="W95" i="15"/>
  <c r="W98" i="15" s="1"/>
  <c r="V95" i="15"/>
  <c r="V98" i="15" s="1"/>
  <c r="T95" i="15"/>
  <c r="T98" i="15" s="1"/>
  <c r="S95" i="15"/>
  <c r="S98" i="15" s="1"/>
  <c r="R95" i="15"/>
  <c r="R98" i="15" s="1"/>
  <c r="P95" i="15"/>
  <c r="P98" i="15" s="1"/>
  <c r="O95" i="15"/>
  <c r="O98" i="15" s="1"/>
  <c r="N95" i="15"/>
  <c r="N98" i="15" s="1"/>
  <c r="K95" i="15"/>
  <c r="K98" i="15" s="1"/>
  <c r="J95" i="15"/>
  <c r="J98" i="15" s="1"/>
  <c r="M94" i="15"/>
  <c r="U93" i="15"/>
  <c r="Q93" i="15"/>
  <c r="M93" i="15"/>
  <c r="L93" i="15"/>
  <c r="X91" i="15"/>
  <c r="W91" i="15"/>
  <c r="T91" i="15"/>
  <c r="S91" i="15"/>
  <c r="L91" i="15"/>
  <c r="K91" i="15"/>
  <c r="V90" i="15"/>
  <c r="V91" i="15" s="1"/>
  <c r="R90" i="15"/>
  <c r="R91" i="15" s="1"/>
  <c r="P90" i="15"/>
  <c r="P91" i="15" s="1"/>
  <c r="O90" i="15"/>
  <c r="O91" i="15" s="1"/>
  <c r="N90" i="15"/>
  <c r="N91" i="15" s="1"/>
  <c r="J90" i="15"/>
  <c r="J91" i="15" s="1"/>
  <c r="M89" i="15"/>
  <c r="I89" i="15"/>
  <c r="X86" i="15"/>
  <c r="W86" i="15"/>
  <c r="V86" i="15"/>
  <c r="T86" i="15"/>
  <c r="S86" i="15"/>
  <c r="S87" i="15" s="1"/>
  <c r="R86" i="15"/>
  <c r="R87" i="15" s="1"/>
  <c r="P86" i="15"/>
  <c r="O86" i="15"/>
  <c r="O87" i="15" s="1"/>
  <c r="N86" i="15"/>
  <c r="N87" i="15" s="1"/>
  <c r="L86" i="15"/>
  <c r="K86" i="15"/>
  <c r="K87" i="15" s="1"/>
  <c r="J86" i="15"/>
  <c r="J87" i="15" s="1"/>
  <c r="U85" i="15"/>
  <c r="Q85" i="15"/>
  <c r="M85" i="15"/>
  <c r="I85" i="15"/>
  <c r="X84" i="15"/>
  <c r="W84" i="15"/>
  <c r="V84" i="15"/>
  <c r="T84" i="15"/>
  <c r="P84" i="15"/>
  <c r="M84" i="15" s="1"/>
  <c r="U83" i="15"/>
  <c r="Q83" i="15"/>
  <c r="Q84" i="15" s="1"/>
  <c r="M83" i="15"/>
  <c r="I83" i="15"/>
  <c r="L82" i="15"/>
  <c r="I82" i="15" s="1"/>
  <c r="X79" i="15"/>
  <c r="W79" i="15"/>
  <c r="V79" i="15"/>
  <c r="T79" i="15"/>
  <c r="S79" i="15"/>
  <c r="R79" i="15"/>
  <c r="P79" i="15"/>
  <c r="O79" i="15"/>
  <c r="N79" i="15"/>
  <c r="L79" i="15"/>
  <c r="K79" i="15"/>
  <c r="J79" i="15"/>
  <c r="Q78" i="15"/>
  <c r="M78" i="15"/>
  <c r="I78" i="15"/>
  <c r="X77" i="15"/>
  <c r="W77" i="15"/>
  <c r="V77" i="15"/>
  <c r="U77" i="15" s="1"/>
  <c r="T77" i="15"/>
  <c r="S77" i="15"/>
  <c r="R77" i="15"/>
  <c r="P77" i="15"/>
  <c r="O77" i="15"/>
  <c r="N77" i="15"/>
  <c r="L77" i="15"/>
  <c r="I77" i="15" s="1"/>
  <c r="K77" i="15"/>
  <c r="J77" i="15"/>
  <c r="I76" i="15"/>
  <c r="U74" i="15"/>
  <c r="Q74" i="15"/>
  <c r="M74" i="15"/>
  <c r="I74" i="15"/>
  <c r="V69" i="15"/>
  <c r="U69" i="15" s="1"/>
  <c r="R69" i="15"/>
  <c r="Q69" i="15" s="1"/>
  <c r="P69" i="15"/>
  <c r="O69" i="15"/>
  <c r="N69" i="15"/>
  <c r="J69" i="15"/>
  <c r="I69" i="15" s="1"/>
  <c r="U68" i="15"/>
  <c r="Q68" i="15"/>
  <c r="M68" i="15"/>
  <c r="I68" i="15"/>
  <c r="V67" i="15"/>
  <c r="U67" i="15" s="1"/>
  <c r="R67" i="15"/>
  <c r="Q67" i="15" s="1"/>
  <c r="O67" i="15"/>
  <c r="N67" i="15"/>
  <c r="M67" i="15" s="1"/>
  <c r="L67" i="15"/>
  <c r="K67" i="15"/>
  <c r="J67" i="15"/>
  <c r="Q66" i="15"/>
  <c r="M66" i="15"/>
  <c r="I66" i="15"/>
  <c r="X65" i="15"/>
  <c r="X70" i="15" s="1"/>
  <c r="W65" i="15"/>
  <c r="W70" i="15" s="1"/>
  <c r="V65" i="15"/>
  <c r="T65" i="15"/>
  <c r="S65" i="15"/>
  <c r="S70" i="15" s="1"/>
  <c r="R65" i="15"/>
  <c r="P65" i="15"/>
  <c r="O65" i="15"/>
  <c r="N65" i="15"/>
  <c r="M64" i="15"/>
  <c r="J65" i="15"/>
  <c r="M63" i="15"/>
  <c r="I63" i="15"/>
  <c r="X61" i="15"/>
  <c r="W61" i="15"/>
  <c r="T61" i="15"/>
  <c r="S61" i="15"/>
  <c r="P61" i="15"/>
  <c r="O61" i="15"/>
  <c r="J60" i="15"/>
  <c r="I60" i="15" s="1"/>
  <c r="I57" i="15"/>
  <c r="N54" i="15"/>
  <c r="J54" i="15"/>
  <c r="M53" i="15"/>
  <c r="M54" i="15" s="1"/>
  <c r="I53" i="15"/>
  <c r="I54" i="15" s="1"/>
  <c r="V52" i="15"/>
  <c r="V61" i="15" s="1"/>
  <c r="R52" i="15"/>
  <c r="N52" i="15"/>
  <c r="M52" i="15"/>
  <c r="L52" i="15"/>
  <c r="L61" i="15" s="1"/>
  <c r="K52" i="15"/>
  <c r="K61" i="15" s="1"/>
  <c r="J52" i="15"/>
  <c r="I52" i="15"/>
  <c r="U51" i="15"/>
  <c r="Q51" i="15"/>
  <c r="M51" i="15"/>
  <c r="X48" i="15"/>
  <c r="W48" i="15"/>
  <c r="W49" i="15" s="1"/>
  <c r="V48" i="15"/>
  <c r="V49" i="15" s="1"/>
  <c r="T48" i="15"/>
  <c r="T49" i="15" s="1"/>
  <c r="S48" i="15"/>
  <c r="S49" i="15" s="1"/>
  <c r="R48" i="15"/>
  <c r="R49" i="15" s="1"/>
  <c r="P48" i="15"/>
  <c r="P49" i="15" s="1"/>
  <c r="O48" i="15"/>
  <c r="O49" i="15" s="1"/>
  <c r="N48" i="15"/>
  <c r="N49" i="15" s="1"/>
  <c r="L48" i="15"/>
  <c r="L49" i="15" s="1"/>
  <c r="U47" i="15"/>
  <c r="Q47" i="15"/>
  <c r="M47" i="15"/>
  <c r="K47" i="15"/>
  <c r="J47" i="15"/>
  <c r="I47" i="15" s="1"/>
  <c r="M46" i="15"/>
  <c r="U45" i="15"/>
  <c r="Q45" i="15"/>
  <c r="M45" i="15"/>
  <c r="I45" i="15"/>
  <c r="X41" i="15"/>
  <c r="W41" i="15"/>
  <c r="T41" i="15"/>
  <c r="S41" i="15"/>
  <c r="P41" i="15"/>
  <c r="O41" i="15"/>
  <c r="V40" i="15"/>
  <c r="R40" i="15"/>
  <c r="N40" i="15"/>
  <c r="L40" i="15"/>
  <c r="K40" i="15"/>
  <c r="J40" i="15"/>
  <c r="U39" i="15"/>
  <c r="U40" i="15" s="1"/>
  <c r="Q39" i="15"/>
  <c r="Q40" i="15" s="1"/>
  <c r="M39" i="15"/>
  <c r="M40" i="15" s="1"/>
  <c r="I39" i="15"/>
  <c r="I40" i="15" s="1"/>
  <c r="V38" i="15"/>
  <c r="U38" i="15"/>
  <c r="R38" i="15"/>
  <c r="Q38" i="15"/>
  <c r="N38" i="15"/>
  <c r="M38" i="15"/>
  <c r="L38" i="15"/>
  <c r="K38" i="15"/>
  <c r="J37" i="15"/>
  <c r="V36" i="15"/>
  <c r="U36" i="15"/>
  <c r="R36" i="15"/>
  <c r="R41" i="15" s="1"/>
  <c r="Q41" i="15" s="1"/>
  <c r="Q36" i="15"/>
  <c r="N36" i="15"/>
  <c r="M36" i="15"/>
  <c r="L36" i="15"/>
  <c r="K36" i="15"/>
  <c r="J36" i="15"/>
  <c r="I36" i="15"/>
  <c r="X32" i="15"/>
  <c r="W32" i="15"/>
  <c r="V32" i="15"/>
  <c r="T32" i="15"/>
  <c r="S32" i="15"/>
  <c r="R32" i="15"/>
  <c r="P32" i="15"/>
  <c r="O32" i="15"/>
  <c r="N32" i="15"/>
  <c r="M32" i="15" s="1"/>
  <c r="L32" i="15"/>
  <c r="K32" i="15"/>
  <c r="J32" i="15"/>
  <c r="M31" i="15"/>
  <c r="I31" i="15"/>
  <c r="M30" i="15"/>
  <c r="I30" i="15"/>
  <c r="P29" i="15"/>
  <c r="M29" i="15" s="1"/>
  <c r="L29" i="15"/>
  <c r="K29" i="15"/>
  <c r="J29" i="15"/>
  <c r="M28" i="15"/>
  <c r="I28" i="15"/>
  <c r="M27" i="15"/>
  <c r="I27" i="15"/>
  <c r="M26" i="15"/>
  <c r="I26" i="15"/>
  <c r="M25" i="15"/>
  <c r="I25" i="15"/>
  <c r="X24" i="15"/>
  <c r="W24" i="15"/>
  <c r="V24" i="15"/>
  <c r="T24" i="15"/>
  <c r="S24" i="15"/>
  <c r="R24" i="15"/>
  <c r="P24" i="15"/>
  <c r="O24" i="15"/>
  <c r="N24" i="15"/>
  <c r="K24" i="15"/>
  <c r="L23" i="15"/>
  <c r="J23" i="15"/>
  <c r="I23" i="15" s="1"/>
  <c r="M22" i="15"/>
  <c r="I22" i="15"/>
  <c r="U20" i="15"/>
  <c r="Q20" i="15"/>
  <c r="M20" i="15"/>
  <c r="I20" i="15"/>
  <c r="X17" i="15"/>
  <c r="W17" i="15"/>
  <c r="T17" i="15"/>
  <c r="S17" i="15"/>
  <c r="P17" i="15"/>
  <c r="O17" i="15"/>
  <c r="L17" i="15"/>
  <c r="K17" i="15"/>
  <c r="V15" i="15"/>
  <c r="R15" i="15"/>
  <c r="N15" i="15"/>
  <c r="L15" i="15"/>
  <c r="K15" i="15"/>
  <c r="J15" i="15"/>
  <c r="U14" i="15"/>
  <c r="U15" i="15" s="1"/>
  <c r="Q14" i="15"/>
  <c r="Q15" i="15" s="1"/>
  <c r="M14" i="15"/>
  <c r="M15" i="15" s="1"/>
  <c r="I14" i="15"/>
  <c r="I15" i="15" s="1"/>
  <c r="X13" i="15"/>
  <c r="W13" i="15"/>
  <c r="V13" i="15"/>
  <c r="T13" i="15"/>
  <c r="S13" i="15"/>
  <c r="R13" i="15"/>
  <c r="P13" i="15"/>
  <c r="O13" i="15"/>
  <c r="N13" i="15"/>
  <c r="L13" i="15"/>
  <c r="K13" i="15"/>
  <c r="J13" i="15"/>
  <c r="U12" i="15"/>
  <c r="Q12" i="15"/>
  <c r="M12" i="15"/>
  <c r="I12" i="15"/>
  <c r="J38" i="15" l="1"/>
  <c r="J41" i="15" s="1"/>
  <c r="J103" i="15"/>
  <c r="I107" i="15"/>
  <c r="I13" i="15"/>
  <c r="I32" i="15"/>
  <c r="Q101" i="15"/>
  <c r="I109" i="15"/>
  <c r="Q13" i="15"/>
  <c r="O33" i="15"/>
  <c r="O42" i="15" s="1"/>
  <c r="M77" i="15"/>
  <c r="U13" i="15"/>
  <c r="I86" i="15"/>
  <c r="Q106" i="15"/>
  <c r="Q77" i="15"/>
  <c r="Q103" i="15"/>
  <c r="T33" i="15"/>
  <c r="T42" i="15" s="1"/>
  <c r="Q107" i="15"/>
  <c r="Q109" i="15"/>
  <c r="U84" i="15"/>
  <c r="Q48" i="15"/>
  <c r="I67" i="15"/>
  <c r="I90" i="15"/>
  <c r="I91" i="15" s="1"/>
  <c r="Q105" i="15"/>
  <c r="U65" i="15"/>
  <c r="I24" i="15"/>
  <c r="M65" i="15"/>
  <c r="V41" i="15"/>
  <c r="U41" i="15" s="1"/>
  <c r="Q90" i="15"/>
  <c r="Q91" i="15" s="1"/>
  <c r="I106" i="15"/>
  <c r="Q108" i="15"/>
  <c r="L41" i="15"/>
  <c r="U61" i="15"/>
  <c r="I64" i="15"/>
  <c r="Q86" i="15"/>
  <c r="U90" i="15"/>
  <c r="U91" i="15" s="1"/>
  <c r="R33" i="15"/>
  <c r="R42" i="15" s="1"/>
  <c r="Q102" i="15"/>
  <c r="M13" i="15"/>
  <c r="Q95" i="15"/>
  <c r="J16" i="15"/>
  <c r="R16" i="15"/>
  <c r="Q16" i="15" s="1"/>
  <c r="L108" i="15"/>
  <c r="L24" i="15"/>
  <c r="L33" i="15" s="1"/>
  <c r="M24" i="15"/>
  <c r="U24" i="15"/>
  <c r="K33" i="15"/>
  <c r="N33" i="15"/>
  <c r="P33" i="15"/>
  <c r="P42" i="15" s="1"/>
  <c r="S33" i="15"/>
  <c r="S42" i="15" s="1"/>
  <c r="V33" i="15"/>
  <c r="W33" i="15"/>
  <c r="W42" i="15" s="1"/>
  <c r="X33" i="15"/>
  <c r="X42" i="15" s="1"/>
  <c r="K41" i="15"/>
  <c r="N41" i="15"/>
  <c r="M41" i="15" s="1"/>
  <c r="J102" i="15"/>
  <c r="J48" i="15"/>
  <c r="K102" i="15"/>
  <c r="K48" i="15"/>
  <c r="K49" i="15" s="1"/>
  <c r="U48" i="15"/>
  <c r="Q52" i="15"/>
  <c r="R61" i="15"/>
  <c r="Q61" i="15" s="1"/>
  <c r="N61" i="15"/>
  <c r="M61" i="15" s="1"/>
  <c r="J61" i="15"/>
  <c r="I61" i="15" s="1"/>
  <c r="K105" i="15"/>
  <c r="K65" i="15"/>
  <c r="K70" i="15" s="1"/>
  <c r="L105" i="15"/>
  <c r="L65" i="15"/>
  <c r="L70" i="15" s="1"/>
  <c r="L71" i="15" s="1"/>
  <c r="Q65" i="15"/>
  <c r="W71" i="15"/>
  <c r="N70" i="15"/>
  <c r="O70" i="15"/>
  <c r="P70" i="15"/>
  <c r="P71" i="15" s="1"/>
  <c r="R70" i="15"/>
  <c r="V70" i="15"/>
  <c r="V71" i="15" s="1"/>
  <c r="J80" i="15"/>
  <c r="J99" i="15" s="1"/>
  <c r="K80" i="15"/>
  <c r="K99" i="15" s="1"/>
  <c r="L80" i="15"/>
  <c r="N80" i="15"/>
  <c r="N99" i="15" s="1"/>
  <c r="O80" i="15"/>
  <c r="O99" i="15" s="1"/>
  <c r="M79" i="15"/>
  <c r="R80" i="15"/>
  <c r="R99" i="15" s="1"/>
  <c r="S80" i="15"/>
  <c r="S99" i="15" s="1"/>
  <c r="T80" i="15"/>
  <c r="V80" i="15"/>
  <c r="V99" i="15" s="1"/>
  <c r="W80" i="15"/>
  <c r="U79" i="15"/>
  <c r="P87" i="15"/>
  <c r="P99" i="15" s="1"/>
  <c r="T87" i="15"/>
  <c r="Q87" i="15" s="1"/>
  <c r="V87" i="15"/>
  <c r="W87" i="15"/>
  <c r="W99" i="15" s="1"/>
  <c r="X87" i="15"/>
  <c r="X99" i="15" s="1"/>
  <c r="L101" i="15"/>
  <c r="N110" i="15"/>
  <c r="O110" i="15"/>
  <c r="P110" i="15"/>
  <c r="R110" i="15"/>
  <c r="S110" i="15"/>
  <c r="T110" i="15"/>
  <c r="V110" i="15"/>
  <c r="W110" i="15"/>
  <c r="X110" i="15"/>
  <c r="M102" i="15"/>
  <c r="U102" i="15"/>
  <c r="M103" i="15"/>
  <c r="U103" i="15"/>
  <c r="M105" i="15"/>
  <c r="U105" i="15"/>
  <c r="M106" i="15"/>
  <c r="J134" i="12"/>
  <c r="U106" i="15"/>
  <c r="R134" i="12"/>
  <c r="M107" i="15"/>
  <c r="U107" i="15"/>
  <c r="M108" i="15"/>
  <c r="U108" i="15"/>
  <c r="M109" i="15"/>
  <c r="U109" i="15"/>
  <c r="M49" i="15"/>
  <c r="U98" i="15"/>
  <c r="Q98" i="15"/>
  <c r="S71" i="15"/>
  <c r="M98" i="15"/>
  <c r="R17" i="15"/>
  <c r="J70" i="15"/>
  <c r="J17" i="15"/>
  <c r="I16" i="15"/>
  <c r="N71" i="15"/>
  <c r="Q49" i="15"/>
  <c r="O71" i="15"/>
  <c r="M87" i="15"/>
  <c r="P80" i="15"/>
  <c r="M80" i="15" s="1"/>
  <c r="X80" i="15"/>
  <c r="L84" i="15"/>
  <c r="I84" i="15" s="1"/>
  <c r="J105" i="15"/>
  <c r="J108" i="15"/>
  <c r="V16" i="15"/>
  <c r="Q24" i="15"/>
  <c r="I29" i="15"/>
  <c r="M69" i="15"/>
  <c r="I79" i="15"/>
  <c r="Q79" i="15"/>
  <c r="M86" i="15"/>
  <c r="U86" i="15"/>
  <c r="M90" i="15"/>
  <c r="M91" i="15" s="1"/>
  <c r="I93" i="15"/>
  <c r="L95" i="15"/>
  <c r="L98" i="15" s="1"/>
  <c r="N16" i="15"/>
  <c r="I37" i="15"/>
  <c r="I38" i="15" s="1"/>
  <c r="U52" i="15"/>
  <c r="M95" i="15"/>
  <c r="U95" i="15"/>
  <c r="M101" i="15"/>
  <c r="U101" i="15"/>
  <c r="X49" i="15"/>
  <c r="M48" i="15"/>
  <c r="T70" i="15"/>
  <c r="T71" i="15" s="1"/>
  <c r="J24" i="15"/>
  <c r="J33" i="15" s="1"/>
  <c r="I65" i="15" l="1"/>
  <c r="T99" i="15"/>
  <c r="M33" i="15"/>
  <c r="M70" i="15"/>
  <c r="M71" i="15"/>
  <c r="K110" i="15"/>
  <c r="Q110" i="15"/>
  <c r="K71" i="15"/>
  <c r="U70" i="15"/>
  <c r="Q33" i="15"/>
  <c r="Q42" i="15" s="1"/>
  <c r="O100" i="15"/>
  <c r="O112" i="15" s="1"/>
  <c r="I101" i="15"/>
  <c r="U87" i="15"/>
  <c r="U33" i="15"/>
  <c r="U42" i="15" s="1"/>
  <c r="L110" i="15"/>
  <c r="W100" i="15"/>
  <c r="W112" i="15" s="1"/>
  <c r="I80" i="15"/>
  <c r="L42" i="15"/>
  <c r="V42" i="15"/>
  <c r="Q80" i="15"/>
  <c r="I41" i="15"/>
  <c r="S100" i="15"/>
  <c r="S112" i="15" s="1"/>
  <c r="N42" i="15"/>
  <c r="R71" i="15"/>
  <c r="Q71" i="15" s="1"/>
  <c r="M42" i="15"/>
  <c r="U80" i="15"/>
  <c r="T100" i="15"/>
  <c r="T112" i="15" s="1"/>
  <c r="X71" i="15"/>
  <c r="U71" i="15" s="1"/>
  <c r="U49" i="15"/>
  <c r="U110" i="15"/>
  <c r="M110" i="15"/>
  <c r="I108" i="15"/>
  <c r="I105" i="15"/>
  <c r="I103" i="15"/>
  <c r="J49" i="15"/>
  <c r="I49" i="15" s="1"/>
  <c r="I48" i="15"/>
  <c r="I102" i="15"/>
  <c r="K42" i="15"/>
  <c r="K100" i="15" s="1"/>
  <c r="J42" i="15"/>
  <c r="I33" i="15"/>
  <c r="N17" i="15"/>
  <c r="M16" i="15"/>
  <c r="Q70" i="15"/>
  <c r="P100" i="15"/>
  <c r="P112" i="15" s="1"/>
  <c r="R100" i="15"/>
  <c r="Q17" i="15"/>
  <c r="J110" i="15"/>
  <c r="I95" i="15"/>
  <c r="L87" i="15"/>
  <c r="I87" i="15" s="1"/>
  <c r="J71" i="15"/>
  <c r="I71" i="15" s="1"/>
  <c r="I70" i="15"/>
  <c r="I17" i="15"/>
  <c r="Q99" i="15"/>
  <c r="U16" i="15"/>
  <c r="V17" i="15"/>
  <c r="K112" i="15" l="1"/>
  <c r="L99" i="15"/>
  <c r="I42" i="15"/>
  <c r="X100" i="15"/>
  <c r="X112" i="15" s="1"/>
  <c r="I110" i="15"/>
  <c r="J100" i="15"/>
  <c r="J112" i="15" s="1"/>
  <c r="U99" i="15"/>
  <c r="I98" i="15"/>
  <c r="M99" i="15"/>
  <c r="N100" i="15"/>
  <c r="M17" i="15"/>
  <c r="R112" i="15"/>
  <c r="Q100" i="15"/>
  <c r="Q112" i="15" s="1"/>
  <c r="V100" i="15"/>
  <c r="U17" i="15"/>
  <c r="N112" i="15" l="1"/>
  <c r="M100" i="15"/>
  <c r="M112" i="15" s="1"/>
  <c r="V112" i="15"/>
  <c r="U100" i="15"/>
  <c r="U112" i="15" s="1"/>
  <c r="I99" i="15"/>
  <c r="L100" i="15"/>
  <c r="L112" i="15" l="1"/>
  <c r="I100" i="15"/>
  <c r="I112" i="15" s="1"/>
  <c r="T325" i="14" l="1"/>
  <c r="S325" i="14"/>
  <c r="R325" i="14"/>
  <c r="P325" i="14"/>
  <c r="O325" i="14"/>
  <c r="N325" i="14"/>
  <c r="L325" i="14"/>
  <c r="K325" i="14"/>
  <c r="J325" i="14"/>
  <c r="T324" i="14"/>
  <c r="S324" i="14"/>
  <c r="R324" i="14"/>
  <c r="P324" i="14"/>
  <c r="O324" i="14"/>
  <c r="N324" i="14"/>
  <c r="L324" i="14"/>
  <c r="K324" i="14"/>
  <c r="J324" i="14"/>
  <c r="T323" i="14"/>
  <c r="S323" i="14"/>
  <c r="R323" i="14"/>
  <c r="P323" i="14"/>
  <c r="O323" i="14"/>
  <c r="N323" i="14"/>
  <c r="L323" i="14"/>
  <c r="K323" i="14"/>
  <c r="J323" i="14"/>
  <c r="S141" i="12"/>
  <c r="R141" i="12"/>
  <c r="T322" i="14"/>
  <c r="P141" i="12" s="1"/>
  <c r="S322" i="14"/>
  <c r="O141" i="12" s="1"/>
  <c r="R322" i="14"/>
  <c r="N141" i="12" s="1"/>
  <c r="P322" i="14"/>
  <c r="O322" i="14"/>
  <c r="K141" i="12" s="1"/>
  <c r="N322" i="14"/>
  <c r="J141" i="12" s="1"/>
  <c r="L322" i="14"/>
  <c r="K322" i="14"/>
  <c r="J322" i="14"/>
  <c r="I322" i="14"/>
  <c r="T153" i="12"/>
  <c r="S153" i="12"/>
  <c r="T320" i="14"/>
  <c r="S320" i="14"/>
  <c r="O153" i="12" s="1"/>
  <c r="R320" i="14"/>
  <c r="N153" i="12" s="1"/>
  <c r="P320" i="14"/>
  <c r="L153" i="12" s="1"/>
  <c r="O320" i="14"/>
  <c r="K153" i="12" s="1"/>
  <c r="N320" i="14"/>
  <c r="L320" i="14"/>
  <c r="S132" i="12"/>
  <c r="R132" i="12"/>
  <c r="T319" i="14"/>
  <c r="P132" i="12" s="1"/>
  <c r="S319" i="14"/>
  <c r="O132" i="12" s="1"/>
  <c r="R319" i="14"/>
  <c r="N132" i="12" s="1"/>
  <c r="P319" i="14"/>
  <c r="L132" i="12" s="1"/>
  <c r="O319" i="14"/>
  <c r="K132" i="12" s="1"/>
  <c r="N319" i="14"/>
  <c r="J132" i="12" s="1"/>
  <c r="L319" i="14"/>
  <c r="X318" i="14"/>
  <c r="T131" i="12" s="1"/>
  <c r="W318" i="14"/>
  <c r="S131" i="12" s="1"/>
  <c r="V318" i="14"/>
  <c r="T318" i="14"/>
  <c r="S318" i="14"/>
  <c r="O131" i="12" s="1"/>
  <c r="R318" i="14"/>
  <c r="N131" i="12" s="1"/>
  <c r="P318" i="14"/>
  <c r="L131" i="12" s="1"/>
  <c r="O318" i="14"/>
  <c r="K131" i="12" s="1"/>
  <c r="N318" i="14"/>
  <c r="L318" i="14"/>
  <c r="K318" i="14"/>
  <c r="X317" i="14"/>
  <c r="T130" i="12" s="1"/>
  <c r="W317" i="14"/>
  <c r="S130" i="12" s="1"/>
  <c r="V317" i="14"/>
  <c r="T317" i="14"/>
  <c r="S317" i="14"/>
  <c r="O130" i="12" s="1"/>
  <c r="R317" i="14"/>
  <c r="N130" i="12" s="1"/>
  <c r="P317" i="14"/>
  <c r="L130" i="12" s="1"/>
  <c r="K130" i="12"/>
  <c r="N317" i="14"/>
  <c r="L317" i="14"/>
  <c r="X316" i="14"/>
  <c r="W316" i="14"/>
  <c r="V316" i="14"/>
  <c r="T316" i="14"/>
  <c r="S316" i="14"/>
  <c r="R316" i="14"/>
  <c r="P316" i="14"/>
  <c r="O316" i="14"/>
  <c r="N316" i="14"/>
  <c r="L316" i="14"/>
  <c r="K316" i="14"/>
  <c r="J316" i="14"/>
  <c r="X315" i="14"/>
  <c r="T133" i="12" s="1"/>
  <c r="W315" i="14"/>
  <c r="S133" i="12" s="1"/>
  <c r="V315" i="14"/>
  <c r="T315" i="14"/>
  <c r="S315" i="14"/>
  <c r="R315" i="14"/>
  <c r="N133" i="12" s="1"/>
  <c r="P315" i="14"/>
  <c r="L133" i="12" s="1"/>
  <c r="O315" i="14"/>
  <c r="K133" i="12" s="1"/>
  <c r="N315" i="14"/>
  <c r="L315" i="14"/>
  <c r="K315" i="14"/>
  <c r="J315" i="14"/>
  <c r="X314" i="14"/>
  <c r="T129" i="12" s="1"/>
  <c r="W314" i="14"/>
  <c r="S129" i="12" s="1"/>
  <c r="V314" i="14"/>
  <c r="T314" i="14"/>
  <c r="S314" i="14"/>
  <c r="O129" i="12" s="1"/>
  <c r="R314" i="14"/>
  <c r="N129" i="12" s="1"/>
  <c r="P314" i="14"/>
  <c r="L129" i="12" s="1"/>
  <c r="O314" i="14"/>
  <c r="K129" i="12" s="1"/>
  <c r="N314" i="14"/>
  <c r="L314" i="14"/>
  <c r="H129" i="12" s="1"/>
  <c r="K314" i="14"/>
  <c r="G129" i="12" s="1"/>
  <c r="X313" i="14"/>
  <c r="W313" i="14"/>
  <c r="V313" i="14"/>
  <c r="R128" i="12" s="1"/>
  <c r="T313" i="14"/>
  <c r="S313" i="14"/>
  <c r="O128" i="12" s="1"/>
  <c r="R313" i="14"/>
  <c r="P313" i="14"/>
  <c r="O313" i="14"/>
  <c r="N313" i="14"/>
  <c r="K313" i="14"/>
  <c r="X309" i="14"/>
  <c r="U309" i="14" s="1"/>
  <c r="T309" i="14"/>
  <c r="Q309" i="14" s="1"/>
  <c r="P309" i="14"/>
  <c r="M309" i="14" s="1"/>
  <c r="L309" i="14"/>
  <c r="I309" i="14" s="1"/>
  <c r="Q308" i="14"/>
  <c r="I308" i="14"/>
  <c r="Q307" i="14"/>
  <c r="I307" i="14"/>
  <c r="L306" i="14"/>
  <c r="I306" i="14" s="1"/>
  <c r="I305" i="14"/>
  <c r="I304" i="14"/>
  <c r="L303" i="14"/>
  <c r="I303" i="14" s="1"/>
  <c r="I302" i="14"/>
  <c r="I301" i="14"/>
  <c r="L300" i="14"/>
  <c r="I300" i="14" s="1"/>
  <c r="I299" i="14"/>
  <c r="T298" i="14"/>
  <c r="Q298" i="14" s="1"/>
  <c r="P298" i="14"/>
  <c r="M298" i="14" s="1"/>
  <c r="L298" i="14"/>
  <c r="I298" i="14" s="1"/>
  <c r="I297" i="14"/>
  <c r="Q296" i="14"/>
  <c r="M296" i="14"/>
  <c r="I296" i="14"/>
  <c r="X295" i="14"/>
  <c r="W295" i="14"/>
  <c r="V295" i="14"/>
  <c r="T295" i="14"/>
  <c r="S295" i="14"/>
  <c r="R295" i="14"/>
  <c r="P295" i="14"/>
  <c r="M295" i="14" s="1"/>
  <c r="L295" i="14"/>
  <c r="I295" i="14" s="1"/>
  <c r="U294" i="14"/>
  <c r="Q294" i="14"/>
  <c r="M294" i="14"/>
  <c r="I294" i="14"/>
  <c r="X293" i="14"/>
  <c r="W293" i="14"/>
  <c r="V293" i="14"/>
  <c r="S293" i="14"/>
  <c r="R293" i="14"/>
  <c r="Q293" i="14" s="1"/>
  <c r="P293" i="14"/>
  <c r="O293" i="14"/>
  <c r="N293" i="14"/>
  <c r="K293" i="14"/>
  <c r="J293" i="14"/>
  <c r="U292" i="14"/>
  <c r="Q292" i="14"/>
  <c r="I292" i="14"/>
  <c r="L291" i="14"/>
  <c r="I290" i="14"/>
  <c r="I289" i="14"/>
  <c r="Q288" i="14"/>
  <c r="I288" i="14"/>
  <c r="X287" i="14"/>
  <c r="U287" i="14"/>
  <c r="T287" i="14"/>
  <c r="Q287" i="14"/>
  <c r="P287" i="14"/>
  <c r="L287" i="14"/>
  <c r="M286" i="14"/>
  <c r="M287" i="14" s="1"/>
  <c r="I286" i="14"/>
  <c r="I287" i="14" s="1"/>
  <c r="X285" i="14"/>
  <c r="W285" i="14"/>
  <c r="V285" i="14"/>
  <c r="T285" i="14"/>
  <c r="S285" i="14"/>
  <c r="R285" i="14"/>
  <c r="Q285" i="14" s="1"/>
  <c r="P285" i="14"/>
  <c r="O285" i="14"/>
  <c r="N285" i="14"/>
  <c r="L285" i="14"/>
  <c r="K285" i="14"/>
  <c r="J285" i="14"/>
  <c r="Q284" i="14"/>
  <c r="M284" i="14"/>
  <c r="I284" i="14"/>
  <c r="I285" i="14" s="1"/>
  <c r="X283" i="14"/>
  <c r="U283" i="14" s="1"/>
  <c r="T283" i="14"/>
  <c r="Q283" i="14" s="1"/>
  <c r="P283" i="14"/>
  <c r="M283" i="14" s="1"/>
  <c r="L283" i="14"/>
  <c r="K283" i="14"/>
  <c r="J283" i="14"/>
  <c r="Q282" i="14"/>
  <c r="M282" i="14"/>
  <c r="I282" i="14"/>
  <c r="I283" i="14" s="1"/>
  <c r="X281" i="14"/>
  <c r="W281" i="14"/>
  <c r="V281" i="14"/>
  <c r="T281" i="14"/>
  <c r="S281" i="14"/>
  <c r="R281" i="14"/>
  <c r="P281" i="14"/>
  <c r="O281" i="14"/>
  <c r="N281" i="14"/>
  <c r="K281" i="14"/>
  <c r="U280" i="14"/>
  <c r="Q280" i="14"/>
  <c r="M280" i="14"/>
  <c r="J280" i="14"/>
  <c r="I280" i="14" s="1"/>
  <c r="J279" i="14"/>
  <c r="I279" i="14" s="1"/>
  <c r="J278" i="14"/>
  <c r="I278" i="14" s="1"/>
  <c r="I274" i="14"/>
  <c r="J273" i="14"/>
  <c r="I273" i="14" s="1"/>
  <c r="I272" i="14"/>
  <c r="J271" i="14"/>
  <c r="I271" i="14" s="1"/>
  <c r="J267" i="14"/>
  <c r="I267" i="14" s="1"/>
  <c r="U266" i="14"/>
  <c r="Q266" i="14"/>
  <c r="M266" i="14"/>
  <c r="L266" i="14"/>
  <c r="J266" i="14"/>
  <c r="U265" i="14"/>
  <c r="Q265" i="14"/>
  <c r="M265" i="14"/>
  <c r="L265" i="14"/>
  <c r="I265" i="14" s="1"/>
  <c r="U264" i="14"/>
  <c r="Q264" i="14"/>
  <c r="M264" i="14"/>
  <c r="L264" i="14"/>
  <c r="I264" i="14" s="1"/>
  <c r="U263" i="14"/>
  <c r="Q263" i="14"/>
  <c r="M263" i="14"/>
  <c r="L263" i="14"/>
  <c r="J263" i="14"/>
  <c r="U262" i="14"/>
  <c r="Q262" i="14"/>
  <c r="M262" i="14"/>
  <c r="I262" i="14"/>
  <c r="U261" i="14"/>
  <c r="Q261" i="14"/>
  <c r="M261" i="14"/>
  <c r="L261" i="14"/>
  <c r="J261" i="14"/>
  <c r="I260" i="14"/>
  <c r="I259" i="14"/>
  <c r="U258" i="14"/>
  <c r="Q258" i="14"/>
  <c r="M258" i="14"/>
  <c r="L258" i="14"/>
  <c r="J258" i="14"/>
  <c r="I257" i="14"/>
  <c r="U256" i="14"/>
  <c r="Q256" i="14"/>
  <c r="M256" i="14"/>
  <c r="L256" i="14"/>
  <c r="I256" i="14" s="1"/>
  <c r="I255" i="14"/>
  <c r="L254" i="14"/>
  <c r="I254" i="14" s="1"/>
  <c r="I253" i="14"/>
  <c r="U252" i="14"/>
  <c r="Q252" i="14"/>
  <c r="M252" i="14"/>
  <c r="J252" i="14"/>
  <c r="I252" i="14" s="1"/>
  <c r="U251" i="14"/>
  <c r="Q251" i="14"/>
  <c r="M251" i="14"/>
  <c r="L251" i="14"/>
  <c r="J251" i="14"/>
  <c r="I250" i="14"/>
  <c r="U249" i="14"/>
  <c r="Q249" i="14"/>
  <c r="M249" i="14"/>
  <c r="L249" i="14"/>
  <c r="J249" i="14"/>
  <c r="I248" i="14"/>
  <c r="U247" i="14"/>
  <c r="Q247" i="14"/>
  <c r="M247" i="14"/>
  <c r="L247" i="14"/>
  <c r="J247" i="14"/>
  <c r="I246" i="14"/>
  <c r="U245" i="14"/>
  <c r="Q245" i="14"/>
  <c r="M245" i="14"/>
  <c r="L245" i="14"/>
  <c r="I245" i="14" s="1"/>
  <c r="I244" i="14"/>
  <c r="J243" i="14"/>
  <c r="I243" i="14" s="1"/>
  <c r="I242" i="14"/>
  <c r="L241" i="14"/>
  <c r="J241" i="14"/>
  <c r="I240" i="14"/>
  <c r="U239" i="14"/>
  <c r="Q239" i="14"/>
  <c r="M239" i="14"/>
  <c r="I239" i="14"/>
  <c r="P238" i="14"/>
  <c r="M238" i="14" s="1"/>
  <c r="L238" i="14"/>
  <c r="K238" i="14"/>
  <c r="J238" i="14"/>
  <c r="I238" i="14"/>
  <c r="M237" i="14"/>
  <c r="X236" i="14"/>
  <c r="W236" i="14"/>
  <c r="V236" i="14"/>
  <c r="T236" i="14"/>
  <c r="S236" i="14"/>
  <c r="R236" i="14"/>
  <c r="P236" i="14"/>
  <c r="O236" i="14"/>
  <c r="N236" i="14"/>
  <c r="L236" i="14"/>
  <c r="K236" i="14"/>
  <c r="J236" i="14"/>
  <c r="I235" i="14"/>
  <c r="I234" i="14"/>
  <c r="X229" i="14"/>
  <c r="W229" i="14"/>
  <c r="V229" i="14"/>
  <c r="T229" i="14"/>
  <c r="S229" i="14"/>
  <c r="R229" i="14"/>
  <c r="P229" i="14"/>
  <c r="O229" i="14"/>
  <c r="N229" i="14"/>
  <c r="L229" i="14"/>
  <c r="K229" i="14"/>
  <c r="U228" i="14"/>
  <c r="Q228" i="14"/>
  <c r="M228" i="14"/>
  <c r="I228" i="14"/>
  <c r="M227" i="14"/>
  <c r="I227" i="14"/>
  <c r="U226" i="14"/>
  <c r="Q226" i="14"/>
  <c r="M226" i="14"/>
  <c r="I226" i="14"/>
  <c r="M225" i="14"/>
  <c r="I225" i="14"/>
  <c r="U224" i="14"/>
  <c r="Q224" i="14"/>
  <c r="M224" i="14"/>
  <c r="I224" i="14"/>
  <c r="M223" i="14"/>
  <c r="I223" i="14"/>
  <c r="U222" i="14"/>
  <c r="Q222" i="14"/>
  <c r="M222" i="14"/>
  <c r="J222" i="14"/>
  <c r="X221" i="14"/>
  <c r="W221" i="14"/>
  <c r="V221" i="14"/>
  <c r="T221" i="14"/>
  <c r="S221" i="14"/>
  <c r="R221" i="14"/>
  <c r="P221" i="14"/>
  <c r="O221" i="14"/>
  <c r="N221" i="14"/>
  <c r="L221" i="14"/>
  <c r="U220" i="14"/>
  <c r="Q220" i="14"/>
  <c r="M220" i="14"/>
  <c r="K319" i="14"/>
  <c r="J319" i="14"/>
  <c r="U219" i="14"/>
  <c r="Q219" i="14"/>
  <c r="M219" i="14"/>
  <c r="V216" i="14"/>
  <c r="U216" i="14" s="1"/>
  <c r="R216" i="14"/>
  <c r="Q216" i="14" s="1"/>
  <c r="N216" i="14"/>
  <c r="M216" i="14" s="1"/>
  <c r="U215" i="14"/>
  <c r="Q215" i="14"/>
  <c r="M215" i="14"/>
  <c r="J215" i="14"/>
  <c r="I215" i="14" s="1"/>
  <c r="V214" i="14"/>
  <c r="U214" i="14" s="1"/>
  <c r="R214" i="14"/>
  <c r="Q214" i="14" s="1"/>
  <c r="N214" i="14"/>
  <c r="M214" i="14" s="1"/>
  <c r="J214" i="14"/>
  <c r="I214" i="14" s="1"/>
  <c r="U213" i="14"/>
  <c r="Q213" i="14"/>
  <c r="M213" i="14"/>
  <c r="V212" i="14"/>
  <c r="U212" i="14" s="1"/>
  <c r="R212" i="14"/>
  <c r="Q212" i="14" s="1"/>
  <c r="N212" i="14"/>
  <c r="M212" i="14" s="1"/>
  <c r="J212" i="14"/>
  <c r="I212" i="14" s="1"/>
  <c r="U211" i="14"/>
  <c r="Q211" i="14"/>
  <c r="M211" i="14"/>
  <c r="I211" i="14"/>
  <c r="V210" i="14"/>
  <c r="U210" i="14" s="1"/>
  <c r="R210" i="14"/>
  <c r="Q210" i="14" s="1"/>
  <c r="N210" i="14"/>
  <c r="M210" i="14" s="1"/>
  <c r="J210" i="14"/>
  <c r="I210" i="14" s="1"/>
  <c r="U207" i="14"/>
  <c r="Q207" i="14"/>
  <c r="M207" i="14"/>
  <c r="I207" i="14"/>
  <c r="W206" i="14"/>
  <c r="V206" i="14"/>
  <c r="U206" i="14" s="1"/>
  <c r="S206" i="14"/>
  <c r="R206" i="14"/>
  <c r="Q206" i="14" s="1"/>
  <c r="O206" i="14"/>
  <c r="N206" i="14"/>
  <c r="M206" i="14" s="1"/>
  <c r="L206" i="14"/>
  <c r="K206" i="14"/>
  <c r="J206" i="14"/>
  <c r="U205" i="14"/>
  <c r="Q205" i="14"/>
  <c r="M205" i="14"/>
  <c r="I205" i="14"/>
  <c r="X204" i="14"/>
  <c r="W204" i="14"/>
  <c r="V204" i="14"/>
  <c r="T204" i="14"/>
  <c r="S204" i="14"/>
  <c r="R204" i="14"/>
  <c r="P204" i="14"/>
  <c r="O204" i="14"/>
  <c r="N204" i="14"/>
  <c r="L204" i="14"/>
  <c r="K204" i="14"/>
  <c r="J204" i="14"/>
  <c r="U203" i="14"/>
  <c r="Q203" i="14"/>
  <c r="M203" i="14"/>
  <c r="I203" i="14"/>
  <c r="U202" i="14"/>
  <c r="Q202" i="14"/>
  <c r="M202" i="14"/>
  <c r="U201" i="14"/>
  <c r="Q201" i="14"/>
  <c r="M201" i="14"/>
  <c r="U200" i="14"/>
  <c r="M200" i="14"/>
  <c r="X199" i="14"/>
  <c r="W199" i="14"/>
  <c r="V199" i="14"/>
  <c r="T199" i="14"/>
  <c r="S199" i="14"/>
  <c r="R199" i="14"/>
  <c r="P199" i="14"/>
  <c r="O199" i="14"/>
  <c r="N199" i="14"/>
  <c r="L199" i="14"/>
  <c r="K199" i="14"/>
  <c r="U198" i="14"/>
  <c r="Q198" i="14"/>
  <c r="M198" i="14"/>
  <c r="I198" i="14"/>
  <c r="U197" i="14"/>
  <c r="Q197" i="14"/>
  <c r="M197" i="14"/>
  <c r="U196" i="14"/>
  <c r="Q196" i="14"/>
  <c r="M196" i="14"/>
  <c r="U195" i="14"/>
  <c r="Q195" i="14"/>
  <c r="M195" i="14"/>
  <c r="J199" i="14"/>
  <c r="V194" i="14"/>
  <c r="U194" i="14" s="1"/>
  <c r="R194" i="14"/>
  <c r="N194" i="14"/>
  <c r="M194" i="14" s="1"/>
  <c r="J194" i="14"/>
  <c r="U193" i="14"/>
  <c r="Q193" i="14"/>
  <c r="M193" i="14"/>
  <c r="I193" i="14"/>
  <c r="I194" i="14" s="1"/>
  <c r="V190" i="14"/>
  <c r="R190" i="14"/>
  <c r="P190" i="14"/>
  <c r="N190" i="14"/>
  <c r="J190" i="14"/>
  <c r="I190" i="14" s="1"/>
  <c r="U189" i="14"/>
  <c r="U190" i="14" s="1"/>
  <c r="Q189" i="14"/>
  <c r="Q190" i="14" s="1"/>
  <c r="M189" i="14"/>
  <c r="M190" i="14" s="1"/>
  <c r="I189" i="14"/>
  <c r="V188" i="14"/>
  <c r="U188" i="14"/>
  <c r="T188" i="14"/>
  <c r="R188" i="14"/>
  <c r="P188" i="14"/>
  <c r="N188" i="14"/>
  <c r="M187" i="14"/>
  <c r="M188" i="14" s="1"/>
  <c r="I187" i="14"/>
  <c r="I188" i="14" s="1"/>
  <c r="X186" i="14"/>
  <c r="W186" i="14"/>
  <c r="V186" i="14"/>
  <c r="T186" i="14"/>
  <c r="S186" i="14"/>
  <c r="R186" i="14"/>
  <c r="P186" i="14"/>
  <c r="O186" i="14"/>
  <c r="Q184" i="14"/>
  <c r="M184" i="14"/>
  <c r="X183" i="14"/>
  <c r="W183" i="14"/>
  <c r="V183" i="14"/>
  <c r="T183" i="14"/>
  <c r="S183" i="14"/>
  <c r="R183" i="14"/>
  <c r="P183" i="14"/>
  <c r="O183" i="14"/>
  <c r="N183" i="14"/>
  <c r="M182" i="14"/>
  <c r="I182" i="14"/>
  <c r="U180" i="14"/>
  <c r="Q180" i="14"/>
  <c r="M180" i="14"/>
  <c r="I180" i="14"/>
  <c r="O179" i="14"/>
  <c r="N179" i="14"/>
  <c r="M179" i="14" s="1"/>
  <c r="M178" i="14"/>
  <c r="I178" i="14"/>
  <c r="M177" i="14"/>
  <c r="I177" i="14"/>
  <c r="T176" i="14"/>
  <c r="S176" i="14"/>
  <c r="R176" i="14"/>
  <c r="P176" i="14"/>
  <c r="O176" i="14"/>
  <c r="N176" i="14"/>
  <c r="M175" i="14"/>
  <c r="M174" i="14"/>
  <c r="M173" i="14"/>
  <c r="I173" i="14"/>
  <c r="P172" i="14"/>
  <c r="O172" i="14"/>
  <c r="N172" i="14"/>
  <c r="M171" i="14"/>
  <c r="I171" i="14"/>
  <c r="M170" i="14"/>
  <c r="M169" i="14"/>
  <c r="I169" i="14"/>
  <c r="M168" i="14"/>
  <c r="I168" i="14"/>
  <c r="P167" i="14"/>
  <c r="O167" i="14"/>
  <c r="N167" i="14"/>
  <c r="M166" i="14"/>
  <c r="I166" i="14"/>
  <c r="M165" i="14"/>
  <c r="I165" i="14"/>
  <c r="I163" i="14"/>
  <c r="N162" i="14"/>
  <c r="M162" i="14" s="1"/>
  <c r="I162" i="14"/>
  <c r="M161" i="14"/>
  <c r="I161" i="14"/>
  <c r="V160" i="14"/>
  <c r="U160" i="14" s="1"/>
  <c r="R160" i="14"/>
  <c r="Q160" i="14" s="1"/>
  <c r="P160" i="14"/>
  <c r="O160" i="14"/>
  <c r="N160" i="14"/>
  <c r="U159" i="14"/>
  <c r="Q159" i="14"/>
  <c r="M157" i="14"/>
  <c r="V156" i="14"/>
  <c r="U156" i="14" s="1"/>
  <c r="R156" i="14"/>
  <c r="Q156" i="14" s="1"/>
  <c r="M156" i="14"/>
  <c r="U155" i="14"/>
  <c r="Q155" i="14"/>
  <c r="M155" i="14"/>
  <c r="M152" i="14"/>
  <c r="W151" i="14"/>
  <c r="V151" i="14"/>
  <c r="U151" i="14" s="1"/>
  <c r="S151" i="14"/>
  <c r="R151" i="14"/>
  <c r="Q151" i="14" s="1"/>
  <c r="P151" i="14"/>
  <c r="O151" i="14"/>
  <c r="N151" i="14"/>
  <c r="U150" i="14"/>
  <c r="Q150" i="14"/>
  <c r="M150" i="14"/>
  <c r="U149" i="14"/>
  <c r="Q149" i="14"/>
  <c r="M149" i="14"/>
  <c r="U148" i="14"/>
  <c r="Q148" i="14"/>
  <c r="U147" i="14"/>
  <c r="Q147" i="14"/>
  <c r="M147" i="14"/>
  <c r="U145" i="14"/>
  <c r="Q145" i="14"/>
  <c r="M145" i="14"/>
  <c r="W144" i="14"/>
  <c r="V144" i="14"/>
  <c r="U144" i="14" s="1"/>
  <c r="S144" i="14"/>
  <c r="R144" i="14"/>
  <c r="Q144" i="14" s="1"/>
  <c r="P144" i="14"/>
  <c r="O144" i="14"/>
  <c r="N144" i="14"/>
  <c r="U143" i="14"/>
  <c r="Q143" i="14"/>
  <c r="M143" i="14"/>
  <c r="U142" i="14"/>
  <c r="Q142" i="14"/>
  <c r="M142" i="14"/>
  <c r="U140" i="14"/>
  <c r="Q140" i="14"/>
  <c r="M140" i="14"/>
  <c r="U139" i="14"/>
  <c r="Q139" i="14"/>
  <c r="M139" i="14"/>
  <c r="W138" i="14"/>
  <c r="V138" i="14"/>
  <c r="U138" i="14" s="1"/>
  <c r="S138" i="14"/>
  <c r="R138" i="14"/>
  <c r="Q138" i="14" s="1"/>
  <c r="P138" i="14"/>
  <c r="O138" i="14"/>
  <c r="N138" i="14"/>
  <c r="M138" i="14" s="1"/>
  <c r="U137" i="14"/>
  <c r="Q137" i="14"/>
  <c r="M137" i="14"/>
  <c r="Q136" i="14"/>
  <c r="M136" i="14"/>
  <c r="Q135" i="14"/>
  <c r="M135" i="14"/>
  <c r="U134" i="14"/>
  <c r="Q134" i="14"/>
  <c r="M134" i="14"/>
  <c r="W133" i="14"/>
  <c r="V133" i="14"/>
  <c r="U133" i="14" s="1"/>
  <c r="S133" i="14"/>
  <c r="R133" i="14"/>
  <c r="Q133" i="14" s="1"/>
  <c r="P133" i="14"/>
  <c r="O133" i="14"/>
  <c r="N133" i="14"/>
  <c r="U132" i="14"/>
  <c r="Q132" i="14"/>
  <c r="M132" i="14"/>
  <c r="U131" i="14"/>
  <c r="Q131" i="14"/>
  <c r="M131" i="14"/>
  <c r="U130" i="14"/>
  <c r="Q130" i="14"/>
  <c r="M130" i="14"/>
  <c r="U129" i="14"/>
  <c r="Q129" i="14"/>
  <c r="M129" i="14"/>
  <c r="W128" i="14"/>
  <c r="V128" i="14"/>
  <c r="T128" i="14"/>
  <c r="S128" i="14"/>
  <c r="R128" i="14"/>
  <c r="P128" i="14"/>
  <c r="O128" i="14"/>
  <c r="N128" i="14"/>
  <c r="Q127" i="14"/>
  <c r="M127" i="14"/>
  <c r="Q126" i="14"/>
  <c r="M126" i="14"/>
  <c r="U125" i="14"/>
  <c r="Q125" i="14"/>
  <c r="M125" i="14"/>
  <c r="U124" i="14"/>
  <c r="Q124" i="14"/>
  <c r="M124" i="14"/>
  <c r="X123" i="14"/>
  <c r="W123" i="14"/>
  <c r="V123" i="14"/>
  <c r="T123" i="14"/>
  <c r="S123" i="14"/>
  <c r="R123" i="14"/>
  <c r="P123" i="14"/>
  <c r="O123" i="14"/>
  <c r="N123" i="14"/>
  <c r="U122" i="14"/>
  <c r="Q122" i="14"/>
  <c r="M122" i="14"/>
  <c r="M121" i="14"/>
  <c r="M120" i="14"/>
  <c r="U119" i="14"/>
  <c r="Q119" i="14"/>
  <c r="M119" i="14"/>
  <c r="W118" i="14"/>
  <c r="V118" i="14"/>
  <c r="U118" i="14" s="1"/>
  <c r="S118" i="14"/>
  <c r="R118" i="14"/>
  <c r="Q118" i="14" s="1"/>
  <c r="P118" i="14"/>
  <c r="O118" i="14"/>
  <c r="N118" i="14"/>
  <c r="U117" i="14"/>
  <c r="Q117" i="14"/>
  <c r="M117" i="14"/>
  <c r="M116" i="14"/>
  <c r="M115" i="14"/>
  <c r="M114" i="14"/>
  <c r="U112" i="14"/>
  <c r="Q112" i="14"/>
  <c r="M112" i="14"/>
  <c r="W111" i="14"/>
  <c r="V111" i="14"/>
  <c r="U111" i="14" s="1"/>
  <c r="S111" i="14"/>
  <c r="R111" i="14"/>
  <c r="Q111" i="14" s="1"/>
  <c r="P111" i="14"/>
  <c r="O111" i="14"/>
  <c r="N111" i="14"/>
  <c r="U110" i="14"/>
  <c r="Q110" i="14"/>
  <c r="M110" i="14"/>
  <c r="U109" i="14"/>
  <c r="M109" i="14"/>
  <c r="U108" i="14"/>
  <c r="M108" i="14"/>
  <c r="U107" i="14"/>
  <c r="M107" i="14"/>
  <c r="U105" i="14"/>
  <c r="Q105" i="14"/>
  <c r="M105" i="14"/>
  <c r="W104" i="14"/>
  <c r="V104" i="14"/>
  <c r="U104" i="14" s="1"/>
  <c r="S104" i="14"/>
  <c r="R104" i="14"/>
  <c r="Q104" i="14" s="1"/>
  <c r="P104" i="14"/>
  <c r="O104" i="14"/>
  <c r="N104" i="14"/>
  <c r="U103" i="14"/>
  <c r="M103" i="14"/>
  <c r="M102" i="14"/>
  <c r="M101" i="14"/>
  <c r="M99" i="14"/>
  <c r="U97" i="14"/>
  <c r="Q97" i="14"/>
  <c r="M97" i="14"/>
  <c r="W96" i="14"/>
  <c r="V96" i="14"/>
  <c r="U96" i="14" s="1"/>
  <c r="S96" i="14"/>
  <c r="R96" i="14"/>
  <c r="Q96" i="14" s="1"/>
  <c r="P96" i="14"/>
  <c r="O96" i="14"/>
  <c r="N96" i="14"/>
  <c r="U95" i="14"/>
  <c r="Q95" i="14"/>
  <c r="M95" i="14"/>
  <c r="U94" i="14"/>
  <c r="M94" i="14"/>
  <c r="U93" i="14"/>
  <c r="M93" i="14"/>
  <c r="U92" i="14"/>
  <c r="Q92" i="14"/>
  <c r="M92" i="14"/>
  <c r="U90" i="14"/>
  <c r="Q90" i="14"/>
  <c r="M90" i="14"/>
  <c r="W89" i="14"/>
  <c r="V89" i="14"/>
  <c r="U89" i="14" s="1"/>
  <c r="S89" i="14"/>
  <c r="R89" i="14"/>
  <c r="Q89" i="14" s="1"/>
  <c r="P89" i="14"/>
  <c r="O89" i="14"/>
  <c r="N89" i="14"/>
  <c r="U88" i="14"/>
  <c r="M88" i="14"/>
  <c r="M87" i="14"/>
  <c r="M85" i="14"/>
  <c r="M84" i="14"/>
  <c r="U82" i="14"/>
  <c r="Q82" i="14"/>
  <c r="M82" i="14"/>
  <c r="W81" i="14"/>
  <c r="V81" i="14"/>
  <c r="U81" i="14" s="1"/>
  <c r="S81" i="14"/>
  <c r="R81" i="14"/>
  <c r="Q81" i="14" s="1"/>
  <c r="P81" i="14"/>
  <c r="O81" i="14"/>
  <c r="N81" i="14"/>
  <c r="U80" i="14"/>
  <c r="Q80" i="14"/>
  <c r="M80" i="14"/>
  <c r="M79" i="14"/>
  <c r="M78" i="14"/>
  <c r="U76" i="14"/>
  <c r="Q76" i="14"/>
  <c r="M76" i="14"/>
  <c r="U74" i="14"/>
  <c r="Q74" i="14"/>
  <c r="M74" i="14"/>
  <c r="W73" i="14"/>
  <c r="V73" i="14"/>
  <c r="U73" i="14" s="1"/>
  <c r="S73" i="14"/>
  <c r="R73" i="14"/>
  <c r="Q73" i="14" s="1"/>
  <c r="P73" i="14"/>
  <c r="O73" i="14"/>
  <c r="N73" i="14"/>
  <c r="Q72" i="14"/>
  <c r="M72" i="14"/>
  <c r="M69" i="14"/>
  <c r="M68" i="14"/>
  <c r="U66" i="14"/>
  <c r="Q66" i="14"/>
  <c r="M66" i="14"/>
  <c r="W65" i="14"/>
  <c r="V65" i="14"/>
  <c r="U65" i="14" s="1"/>
  <c r="S65" i="14"/>
  <c r="R65" i="14"/>
  <c r="Q65" i="14" s="1"/>
  <c r="P65" i="14"/>
  <c r="O65" i="14"/>
  <c r="N65" i="14"/>
  <c r="M64" i="14"/>
  <c r="M63" i="14"/>
  <c r="M61" i="14"/>
  <c r="U59" i="14"/>
  <c r="Q59" i="14"/>
  <c r="M59" i="14"/>
  <c r="W58" i="14"/>
  <c r="V58" i="14"/>
  <c r="U58" i="14" s="1"/>
  <c r="S58" i="14"/>
  <c r="R58" i="14"/>
  <c r="Q58" i="14" s="1"/>
  <c r="P58" i="14"/>
  <c r="O58" i="14"/>
  <c r="N58" i="14"/>
  <c r="M57" i="14"/>
  <c r="M54" i="14"/>
  <c r="M53" i="14"/>
  <c r="U51" i="14"/>
  <c r="Q51" i="14"/>
  <c r="M51" i="14"/>
  <c r="W50" i="14"/>
  <c r="V50" i="14"/>
  <c r="U50" i="14" s="1"/>
  <c r="S50" i="14"/>
  <c r="R50" i="14"/>
  <c r="Q50" i="14" s="1"/>
  <c r="P50" i="14"/>
  <c r="O50" i="14"/>
  <c r="N50" i="14"/>
  <c r="U49" i="14"/>
  <c r="Q49" i="14"/>
  <c r="M48" i="14"/>
  <c r="M46" i="14"/>
  <c r="M45" i="14"/>
  <c r="U43" i="14"/>
  <c r="Q43" i="14"/>
  <c r="M43" i="14"/>
  <c r="W42" i="14"/>
  <c r="V42" i="14"/>
  <c r="U42" i="14" s="1"/>
  <c r="S42" i="14"/>
  <c r="R42" i="14"/>
  <c r="Q42" i="14" s="1"/>
  <c r="P42" i="14"/>
  <c r="O42" i="14"/>
  <c r="N42" i="14"/>
  <c r="M41" i="14"/>
  <c r="M38" i="14"/>
  <c r="U37" i="14"/>
  <c r="Q37" i="14"/>
  <c r="M37" i="14"/>
  <c r="U35" i="14"/>
  <c r="Q35" i="14"/>
  <c r="M35" i="14"/>
  <c r="W34" i="14"/>
  <c r="V34" i="14"/>
  <c r="U34" i="14" s="1"/>
  <c r="S34" i="14"/>
  <c r="R34" i="14"/>
  <c r="Q34" i="14" s="1"/>
  <c r="P34" i="14"/>
  <c r="O34" i="14"/>
  <c r="N34" i="14"/>
  <c r="U33" i="14"/>
  <c r="Q33" i="14"/>
  <c r="M33" i="14"/>
  <c r="M31" i="14"/>
  <c r="U30" i="14"/>
  <c r="Q30" i="14"/>
  <c r="M30" i="14"/>
  <c r="U28" i="14"/>
  <c r="Q28" i="14"/>
  <c r="M28" i="14"/>
  <c r="W27" i="14"/>
  <c r="V27" i="14"/>
  <c r="U27" i="14" s="1"/>
  <c r="S27" i="14"/>
  <c r="R27" i="14"/>
  <c r="Q27" i="14" s="1"/>
  <c r="P27" i="14"/>
  <c r="O27" i="14"/>
  <c r="N27" i="14"/>
  <c r="U26" i="14"/>
  <c r="Q26" i="14"/>
  <c r="M24" i="14"/>
  <c r="U23" i="14"/>
  <c r="Q23" i="14"/>
  <c r="M23" i="14"/>
  <c r="M22" i="14"/>
  <c r="U20" i="14"/>
  <c r="Q20" i="14"/>
  <c r="M20" i="14"/>
  <c r="W19" i="14"/>
  <c r="V19" i="14"/>
  <c r="U19" i="14" s="1"/>
  <c r="S19" i="14"/>
  <c r="R19" i="14"/>
  <c r="Q19" i="14" s="1"/>
  <c r="P19" i="14"/>
  <c r="O19" i="14"/>
  <c r="N19" i="14"/>
  <c r="U18" i="14"/>
  <c r="Q18" i="14"/>
  <c r="M18" i="14"/>
  <c r="M15" i="14"/>
  <c r="M14" i="14"/>
  <c r="U12" i="14"/>
  <c r="M12" i="14"/>
  <c r="N35" i="10"/>
  <c r="O35" i="10"/>
  <c r="I160" i="14" l="1"/>
  <c r="M118" i="14"/>
  <c r="J321" i="14"/>
  <c r="L321" i="14"/>
  <c r="M133" i="14"/>
  <c r="M167" i="14"/>
  <c r="I172" i="14"/>
  <c r="Q176" i="14"/>
  <c r="U318" i="14"/>
  <c r="I263" i="14"/>
  <c r="M19" i="14"/>
  <c r="U199" i="14"/>
  <c r="M42" i="14"/>
  <c r="M89" i="14"/>
  <c r="L217" i="14"/>
  <c r="M176" i="14"/>
  <c r="U236" i="14"/>
  <c r="U123" i="14"/>
  <c r="Q128" i="14"/>
  <c r="O217" i="14"/>
  <c r="U285" i="14"/>
  <c r="U183" i="14"/>
  <c r="M281" i="14"/>
  <c r="Q236" i="14"/>
  <c r="X217" i="14"/>
  <c r="M50" i="14"/>
  <c r="M73" i="14"/>
  <c r="Q183" i="14"/>
  <c r="U204" i="14"/>
  <c r="U221" i="14"/>
  <c r="K317" i="14"/>
  <c r="M58" i="14"/>
  <c r="M123" i="14"/>
  <c r="I204" i="14"/>
  <c r="I206" i="14"/>
  <c r="I236" i="14"/>
  <c r="Q229" i="14"/>
  <c r="M111" i="14"/>
  <c r="I176" i="14"/>
  <c r="T230" i="14"/>
  <c r="S217" i="14"/>
  <c r="M285" i="14"/>
  <c r="I179" i="14"/>
  <c r="I183" i="14"/>
  <c r="W230" i="14"/>
  <c r="M236" i="14"/>
  <c r="R217" i="14"/>
  <c r="K217" i="14"/>
  <c r="N230" i="14"/>
  <c r="X230" i="14"/>
  <c r="M34" i="10"/>
  <c r="P50" i="10"/>
  <c r="I19" i="14"/>
  <c r="M65" i="14"/>
  <c r="M104" i="14"/>
  <c r="M144" i="14"/>
  <c r="I184" i="14"/>
  <c r="I186" i="14"/>
  <c r="T191" i="14"/>
  <c r="U186" i="14"/>
  <c r="Q188" i="14"/>
  <c r="M199" i="14"/>
  <c r="P217" i="14"/>
  <c r="Q204" i="14"/>
  <c r="K310" i="14"/>
  <c r="K311" i="14" s="1"/>
  <c r="I247" i="14"/>
  <c r="I266" i="14"/>
  <c r="U281" i="14"/>
  <c r="U293" i="14"/>
  <c r="U295" i="14"/>
  <c r="T128" i="12"/>
  <c r="X326" i="14"/>
  <c r="M323" i="14"/>
  <c r="M324" i="14"/>
  <c r="M186" i="14"/>
  <c r="R326" i="14"/>
  <c r="N128" i="12"/>
  <c r="M183" i="14"/>
  <c r="S230" i="14"/>
  <c r="L281" i="14"/>
  <c r="I249" i="14"/>
  <c r="U314" i="14"/>
  <c r="R129" i="12"/>
  <c r="Q129" i="12" s="1"/>
  <c r="U316" i="14"/>
  <c r="Q320" i="14"/>
  <c r="P153" i="12"/>
  <c r="P326" i="14"/>
  <c r="Q325" i="14"/>
  <c r="M34" i="14"/>
  <c r="O191" i="14"/>
  <c r="Q199" i="14"/>
  <c r="I261" i="14"/>
  <c r="Q281" i="14"/>
  <c r="L293" i="14"/>
  <c r="I293" i="14" s="1"/>
  <c r="T326" i="14"/>
  <c r="P128" i="12"/>
  <c r="I316" i="14"/>
  <c r="Q317" i="14"/>
  <c r="P130" i="12"/>
  <c r="K320" i="14"/>
  <c r="R153" i="12"/>
  <c r="I325" i="14"/>
  <c r="M318" i="14"/>
  <c r="J131" i="12"/>
  <c r="M96" i="14"/>
  <c r="I319" i="14"/>
  <c r="W191" i="14"/>
  <c r="M204" i="14"/>
  <c r="J216" i="14"/>
  <c r="I216" i="14" s="1"/>
  <c r="I291" i="14"/>
  <c r="M293" i="14"/>
  <c r="Q295" i="14"/>
  <c r="R310" i="14"/>
  <c r="R311" i="14" s="1"/>
  <c r="M314" i="14"/>
  <c r="J129" i="12"/>
  <c r="I129" i="12" s="1"/>
  <c r="S326" i="14"/>
  <c r="O133" i="12"/>
  <c r="M316" i="14"/>
  <c r="U317" i="14"/>
  <c r="R130" i="12"/>
  <c r="Q316" i="14"/>
  <c r="M81" i="14"/>
  <c r="T217" i="14"/>
  <c r="T310" i="14"/>
  <c r="T311" i="14" s="1"/>
  <c r="W326" i="14"/>
  <c r="S128" i="12"/>
  <c r="Q315" i="14"/>
  <c r="P133" i="12"/>
  <c r="M320" i="14"/>
  <c r="J153" i="12"/>
  <c r="I324" i="14"/>
  <c r="O310" i="14"/>
  <c r="O311" i="14" s="1"/>
  <c r="W310" i="14"/>
  <c r="W311" i="14" s="1"/>
  <c r="U315" i="14"/>
  <c r="R133" i="12"/>
  <c r="M317" i="14"/>
  <c r="J130" i="12"/>
  <c r="Q318" i="14"/>
  <c r="P131" i="12"/>
  <c r="T141" i="12"/>
  <c r="Q323" i="14"/>
  <c r="M325" i="14"/>
  <c r="Q314" i="14"/>
  <c r="P129" i="12"/>
  <c r="M129" i="12" s="1"/>
  <c r="Q319" i="14"/>
  <c r="Q123" i="14"/>
  <c r="M172" i="14"/>
  <c r="Q186" i="14"/>
  <c r="O230" i="14"/>
  <c r="L230" i="14"/>
  <c r="U229" i="14"/>
  <c r="O326" i="14"/>
  <c r="K128" i="12"/>
  <c r="I315" i="14"/>
  <c r="R131" i="12"/>
  <c r="M322" i="14"/>
  <c r="L141" i="12"/>
  <c r="I323" i="14"/>
  <c r="M128" i="14"/>
  <c r="I167" i="14"/>
  <c r="N217" i="14"/>
  <c r="M221" i="14"/>
  <c r="M315" i="14"/>
  <c r="J133" i="12"/>
  <c r="Q322" i="14"/>
  <c r="P35" i="10"/>
  <c r="I199" i="14"/>
  <c r="V217" i="14"/>
  <c r="J313" i="14"/>
  <c r="F128" i="12" s="1"/>
  <c r="M319" i="14"/>
  <c r="J318" i="14"/>
  <c r="R191" i="14"/>
  <c r="W217" i="14"/>
  <c r="P230" i="14"/>
  <c r="I241" i="14"/>
  <c r="V326" i="14"/>
  <c r="U313" i="14"/>
  <c r="J229" i="14"/>
  <c r="I229" i="14" s="1"/>
  <c r="I222" i="14"/>
  <c r="N326" i="14"/>
  <c r="M313" i="14"/>
  <c r="M27" i="14"/>
  <c r="L191" i="14"/>
  <c r="V191" i="14"/>
  <c r="R230" i="14"/>
  <c r="Q221" i="14"/>
  <c r="M229" i="14"/>
  <c r="I251" i="14"/>
  <c r="J320" i="14"/>
  <c r="J314" i="14"/>
  <c r="X310" i="14"/>
  <c r="X311" i="14" s="1"/>
  <c r="X312" i="14" s="1"/>
  <c r="J317" i="14"/>
  <c r="M151" i="14"/>
  <c r="M160" i="14"/>
  <c r="I185" i="14"/>
  <c r="P191" i="14"/>
  <c r="Q194" i="14"/>
  <c r="J221" i="14"/>
  <c r="J281" i="14"/>
  <c r="S310" i="14"/>
  <c r="S311" i="14" s="1"/>
  <c r="V310" i="14"/>
  <c r="K221" i="14"/>
  <c r="K230" i="14" s="1"/>
  <c r="V230" i="14"/>
  <c r="Q313" i="14"/>
  <c r="S191" i="14"/>
  <c r="N191" i="14"/>
  <c r="P310" i="14"/>
  <c r="P311" i="14" s="1"/>
  <c r="I258" i="14"/>
  <c r="L313" i="14"/>
  <c r="N310" i="14"/>
  <c r="F135" i="12"/>
  <c r="G135" i="12"/>
  <c r="H135" i="12"/>
  <c r="F152" i="12"/>
  <c r="G152" i="12"/>
  <c r="H152" i="12"/>
  <c r="F138" i="12"/>
  <c r="G138" i="12"/>
  <c r="H138" i="12"/>
  <c r="F158" i="12"/>
  <c r="G158" i="12"/>
  <c r="H158" i="12"/>
  <c r="F157" i="12"/>
  <c r="G157" i="12"/>
  <c r="H157" i="12"/>
  <c r="U326" i="14" l="1"/>
  <c r="U217" i="14"/>
  <c r="Q311" i="14"/>
  <c r="Q310" i="14"/>
  <c r="M230" i="14"/>
  <c r="Q230" i="14"/>
  <c r="L231" i="14"/>
  <c r="Q191" i="14"/>
  <c r="Q326" i="14"/>
  <c r="U230" i="14"/>
  <c r="K191" i="14"/>
  <c r="K231" i="14" s="1"/>
  <c r="K312" i="14" s="1"/>
  <c r="W231" i="14"/>
  <c r="W312" i="14" s="1"/>
  <c r="W328" i="14" s="1"/>
  <c r="K326" i="14"/>
  <c r="T231" i="14"/>
  <c r="T312" i="14" s="1"/>
  <c r="T328" i="14" s="1"/>
  <c r="P231" i="14"/>
  <c r="P312" i="14" s="1"/>
  <c r="P328" i="14" s="1"/>
  <c r="M217" i="14"/>
  <c r="P59" i="10"/>
  <c r="L128" i="12"/>
  <c r="I320" i="14"/>
  <c r="J217" i="14"/>
  <c r="I217" i="14" s="1"/>
  <c r="I321" i="14"/>
  <c r="Q217" i="14"/>
  <c r="L326" i="14"/>
  <c r="I317" i="14"/>
  <c r="O231" i="14"/>
  <c r="O312" i="14" s="1"/>
  <c r="O328" i="14" s="1"/>
  <c r="S231" i="14"/>
  <c r="S312" i="14" s="1"/>
  <c r="S328" i="14" s="1"/>
  <c r="L310" i="14"/>
  <c r="L311" i="14" s="1"/>
  <c r="I314" i="14"/>
  <c r="F129" i="12"/>
  <c r="I318" i="14"/>
  <c r="Q152" i="12"/>
  <c r="Q157" i="12"/>
  <c r="Q158" i="12"/>
  <c r="G136" i="12"/>
  <c r="H136" i="12"/>
  <c r="E158" i="12"/>
  <c r="E157" i="12"/>
  <c r="G137" i="12"/>
  <c r="H137" i="12"/>
  <c r="R231" i="14"/>
  <c r="R312" i="14" s="1"/>
  <c r="V231" i="14"/>
  <c r="M310" i="14"/>
  <c r="N311" i="14"/>
  <c r="J310" i="14"/>
  <c r="I281" i="14"/>
  <c r="U310" i="14"/>
  <c r="V311" i="14"/>
  <c r="M191" i="14"/>
  <c r="N231" i="14"/>
  <c r="J230" i="14"/>
  <c r="I230" i="14" s="1"/>
  <c r="I221" i="14"/>
  <c r="I313" i="14"/>
  <c r="J326" i="14"/>
  <c r="M326" i="14"/>
  <c r="J191" i="14"/>
  <c r="F137" i="12"/>
  <c r="F136" i="12"/>
  <c r="I158" i="12"/>
  <c r="M231" i="14" l="1"/>
  <c r="Q231" i="14"/>
  <c r="L312" i="14"/>
  <c r="L328" i="14" s="1"/>
  <c r="K328" i="14"/>
  <c r="L110" i="12"/>
  <c r="I326" i="14"/>
  <c r="Q312" i="14"/>
  <c r="Q328" i="14" s="1"/>
  <c r="R328" i="14"/>
  <c r="J231" i="14"/>
  <c r="I191" i="14"/>
  <c r="I231" i="14" s="1"/>
  <c r="J311" i="14"/>
  <c r="I310" i="14"/>
  <c r="I311" i="14" s="1"/>
  <c r="M311" i="14"/>
  <c r="N312" i="14"/>
  <c r="U311" i="14"/>
  <c r="V312" i="14"/>
  <c r="M152" i="12"/>
  <c r="H150" i="12"/>
  <c r="G150" i="12"/>
  <c r="T100" i="12"/>
  <c r="S100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E100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E4" i="13" s="1"/>
  <c r="H31" i="12"/>
  <c r="G31" i="12"/>
  <c r="F31" i="12"/>
  <c r="E31" i="12"/>
  <c r="E8" i="13" l="1"/>
  <c r="E9" i="13"/>
  <c r="J312" i="14"/>
  <c r="U312" i="14"/>
  <c r="V328" i="14"/>
  <c r="M312" i="14"/>
  <c r="M328" i="14" s="1"/>
  <c r="N328" i="14"/>
  <c r="E152" i="12"/>
  <c r="E138" i="12"/>
  <c r="M157" i="12"/>
  <c r="M138" i="12"/>
  <c r="Q138" i="12"/>
  <c r="Q135" i="12"/>
  <c r="E135" i="12"/>
  <c r="M158" i="12"/>
  <c r="I135" i="12"/>
  <c r="I157" i="12"/>
  <c r="I138" i="12"/>
  <c r="E136" i="12"/>
  <c r="E137" i="12"/>
  <c r="M135" i="12"/>
  <c r="I152" i="12"/>
  <c r="E7" i="13"/>
  <c r="I312" i="14" l="1"/>
  <c r="I328" i="14" s="1"/>
  <c r="J328" i="14"/>
  <c r="H134" i="12"/>
  <c r="G134" i="12"/>
  <c r="H146" i="12"/>
  <c r="G146" i="12"/>
  <c r="H145" i="12"/>
  <c r="G145" i="12"/>
  <c r="H144" i="12"/>
  <c r="G144" i="12"/>
  <c r="E148" i="12" l="1"/>
  <c r="Q146" i="12"/>
  <c r="M146" i="12"/>
  <c r="F145" i="12"/>
  <c r="E145" i="12" s="1"/>
  <c r="Q148" i="12"/>
  <c r="F143" i="12"/>
  <c r="F144" i="12"/>
  <c r="E144" i="12" s="1"/>
  <c r="G143" i="12"/>
  <c r="Q145" i="12" l="1"/>
  <c r="I146" i="12"/>
  <c r="Q143" i="12"/>
  <c r="I144" i="12"/>
  <c r="E146" i="12"/>
  <c r="I148" i="12"/>
  <c r="M145" i="12"/>
  <c r="M148" i="12"/>
  <c r="M144" i="12"/>
  <c r="I145" i="12"/>
  <c r="Q144" i="12"/>
  <c r="E134" i="12"/>
  <c r="I143" i="12"/>
  <c r="H143" i="12"/>
  <c r="E143" i="12" s="1"/>
  <c r="L126" i="12"/>
  <c r="P126" i="12"/>
  <c r="R126" i="12"/>
  <c r="H126" i="12"/>
  <c r="G126" i="12"/>
  <c r="S126" i="12"/>
  <c r="K126" i="12"/>
  <c r="I126" i="12" l="1"/>
  <c r="O126" i="12"/>
  <c r="N126" i="12"/>
  <c r="J126" i="12"/>
  <c r="F126" i="12"/>
  <c r="E126" i="12"/>
  <c r="E11" i="13" l="1"/>
  <c r="E19" i="13" s="1"/>
  <c r="M143" i="12"/>
  <c r="H141" i="12" l="1"/>
  <c r="G141" i="12"/>
  <c r="F141" i="12"/>
  <c r="J55" i="10"/>
  <c r="H149" i="12"/>
  <c r="G149" i="12"/>
  <c r="I53" i="10"/>
  <c r="I52" i="10"/>
  <c r="I51" i="10"/>
  <c r="X46" i="10"/>
  <c r="W46" i="10"/>
  <c r="V46" i="10"/>
  <c r="T46" i="10"/>
  <c r="S46" i="10"/>
  <c r="R46" i="10"/>
  <c r="P46" i="10"/>
  <c r="O46" i="10"/>
  <c r="N46" i="10"/>
  <c r="K46" i="10"/>
  <c r="J46" i="10"/>
  <c r="M40" i="10"/>
  <c r="I54" i="10"/>
  <c r="M37" i="10"/>
  <c r="M36" i="10"/>
  <c r="I36" i="10"/>
  <c r="X35" i="10"/>
  <c r="W35" i="10"/>
  <c r="V35" i="10"/>
  <c r="T35" i="10"/>
  <c r="S35" i="10"/>
  <c r="R35" i="10"/>
  <c r="L35" i="10"/>
  <c r="K35" i="10"/>
  <c r="J35" i="10"/>
  <c r="U33" i="10"/>
  <c r="U35" i="10" s="1"/>
  <c r="Q33" i="10"/>
  <c r="Q35" i="10" s="1"/>
  <c r="M33" i="10"/>
  <c r="M35" i="10" s="1"/>
  <c r="I33" i="10"/>
  <c r="I35" i="10" s="1"/>
  <c r="X26" i="10"/>
  <c r="W26" i="10"/>
  <c r="V26" i="10"/>
  <c r="T26" i="10"/>
  <c r="S26" i="10"/>
  <c r="R26" i="10"/>
  <c r="O26" i="10"/>
  <c r="N26" i="10"/>
  <c r="M26" i="10" s="1"/>
  <c r="K26" i="10"/>
  <c r="J26" i="10"/>
  <c r="I26" i="10" s="1"/>
  <c r="W23" i="10"/>
  <c r="V23" i="10"/>
  <c r="U23" i="10"/>
  <c r="S23" i="10"/>
  <c r="R23" i="10"/>
  <c r="Q23" i="10"/>
  <c r="O23" i="10"/>
  <c r="N23" i="10"/>
  <c r="M23" i="10"/>
  <c r="K23" i="10"/>
  <c r="J23" i="10"/>
  <c r="I23" i="10"/>
  <c r="X20" i="10"/>
  <c r="W20" i="10"/>
  <c r="V20" i="10"/>
  <c r="T20" i="10"/>
  <c r="S20" i="10"/>
  <c r="R20" i="10"/>
  <c r="P20" i="10"/>
  <c r="P29" i="10" s="1"/>
  <c r="O20" i="10"/>
  <c r="N20" i="10"/>
  <c r="L20" i="10"/>
  <c r="L29" i="10" s="1"/>
  <c r="K20" i="10"/>
  <c r="J20" i="10"/>
  <c r="X15" i="10"/>
  <c r="X16" i="10" s="1"/>
  <c r="W15" i="10"/>
  <c r="W16" i="10" s="1"/>
  <c r="V15" i="10"/>
  <c r="V16" i="10" s="1"/>
  <c r="T15" i="10"/>
  <c r="S15" i="10"/>
  <c r="S16" i="10" s="1"/>
  <c r="R15" i="10"/>
  <c r="R16" i="10" s="1"/>
  <c r="P15" i="10"/>
  <c r="P16" i="10" s="1"/>
  <c r="O15" i="10"/>
  <c r="O16" i="10" s="1"/>
  <c r="N16" i="10"/>
  <c r="L15" i="10"/>
  <c r="K15" i="10"/>
  <c r="K16" i="10" s="1"/>
  <c r="J15" i="10"/>
  <c r="J16" i="10" s="1"/>
  <c r="X29" i="10" l="1"/>
  <c r="U26" i="10"/>
  <c r="U41" i="10"/>
  <c r="M46" i="10"/>
  <c r="M47" i="10" s="1"/>
  <c r="J29" i="10"/>
  <c r="K29" i="10"/>
  <c r="K30" i="10" s="1"/>
  <c r="R29" i="10"/>
  <c r="S29" i="10"/>
  <c r="S30" i="10" s="1"/>
  <c r="V29" i="10"/>
  <c r="U29" i="10" s="1"/>
  <c r="M41" i="10"/>
  <c r="O47" i="10"/>
  <c r="O48" i="10" s="1"/>
  <c r="J59" i="10"/>
  <c r="W29" i="10"/>
  <c r="W30" i="10" s="1"/>
  <c r="I41" i="10"/>
  <c r="T29" i="10"/>
  <c r="Q29" i="10" s="1"/>
  <c r="N29" i="10"/>
  <c r="N30" i="10" s="1"/>
  <c r="J47" i="10"/>
  <c r="J48" i="10" s="1"/>
  <c r="O29" i="10"/>
  <c r="O30" i="10" s="1"/>
  <c r="O49" i="10" s="1"/>
  <c r="W47" i="10"/>
  <c r="W48" i="10" s="1"/>
  <c r="M141" i="12"/>
  <c r="X47" i="10"/>
  <c r="X48" i="10" s="1"/>
  <c r="Q20" i="10"/>
  <c r="U46" i="10"/>
  <c r="U47" i="10" s="1"/>
  <c r="E141" i="12"/>
  <c r="Q57" i="10"/>
  <c r="T47" i="10"/>
  <c r="T48" i="10" s="1"/>
  <c r="Q51" i="10"/>
  <c r="Q26" i="10"/>
  <c r="Q52" i="10"/>
  <c r="I50" i="10"/>
  <c r="U56" i="10"/>
  <c r="Q141" i="12"/>
  <c r="M57" i="10"/>
  <c r="Q46" i="10"/>
  <c r="Q47" i="10" s="1"/>
  <c r="Q50" i="10"/>
  <c r="M51" i="10"/>
  <c r="U51" i="10"/>
  <c r="M52" i="10"/>
  <c r="U52" i="10"/>
  <c r="M53" i="10"/>
  <c r="U53" i="10"/>
  <c r="M54" i="10"/>
  <c r="U54" i="10"/>
  <c r="M56" i="10"/>
  <c r="I141" i="12"/>
  <c r="I20" i="10"/>
  <c r="Q41" i="10"/>
  <c r="R47" i="10"/>
  <c r="R48" i="10" s="1"/>
  <c r="I149" i="12"/>
  <c r="Q149" i="12"/>
  <c r="U55" i="10"/>
  <c r="Q56" i="10"/>
  <c r="U20" i="10"/>
  <c r="K47" i="10"/>
  <c r="K48" i="10" s="1"/>
  <c r="S47" i="10"/>
  <c r="S48" i="10" s="1"/>
  <c r="M55" i="10"/>
  <c r="I56" i="10"/>
  <c r="L46" i="10"/>
  <c r="Q55" i="10"/>
  <c r="Q53" i="10"/>
  <c r="Q54" i="10"/>
  <c r="I55" i="10"/>
  <c r="M20" i="10"/>
  <c r="Q16" i="10"/>
  <c r="N47" i="10"/>
  <c r="N48" i="10" s="1"/>
  <c r="V47" i="10"/>
  <c r="V48" i="10" s="1"/>
  <c r="E149" i="12"/>
  <c r="M149" i="12"/>
  <c r="U57" i="10"/>
  <c r="V30" i="10"/>
  <c r="I16" i="10"/>
  <c r="U50" i="10"/>
  <c r="M50" i="10"/>
  <c r="P47" i="10"/>
  <c r="P48" i="10" s="1"/>
  <c r="M48" i="10" s="1"/>
  <c r="X30" i="10"/>
  <c r="P30" i="10"/>
  <c r="T16" i="10"/>
  <c r="M15" i="10"/>
  <c r="U15" i="10"/>
  <c r="M16" i="10"/>
  <c r="U16" i="10"/>
  <c r="R30" i="10"/>
  <c r="L16" i="10"/>
  <c r="L30" i="10" s="1"/>
  <c r="I15" i="10"/>
  <c r="Q15" i="10"/>
  <c r="T30" i="10" l="1"/>
  <c r="X49" i="10"/>
  <c r="U48" i="10"/>
  <c r="I110" i="12"/>
  <c r="E10" i="13" s="1"/>
  <c r="E18" i="13" s="1"/>
  <c r="Q110" i="12"/>
  <c r="M110" i="12"/>
  <c r="Q48" i="10"/>
  <c r="N49" i="10"/>
  <c r="N61" i="10" s="1"/>
  <c r="F110" i="12"/>
  <c r="M29" i="10"/>
  <c r="W49" i="10"/>
  <c r="W61" i="10" s="1"/>
  <c r="V49" i="10"/>
  <c r="V61" i="10" s="1"/>
  <c r="X61" i="10"/>
  <c r="I59" i="10"/>
  <c r="T49" i="10"/>
  <c r="T61" i="10" s="1"/>
  <c r="P49" i="10"/>
  <c r="P61" i="10" s="1"/>
  <c r="K49" i="10"/>
  <c r="K61" i="10" s="1"/>
  <c r="M59" i="10"/>
  <c r="R49" i="10"/>
  <c r="R61" i="10" s="1"/>
  <c r="U30" i="10"/>
  <c r="U49" i="10" s="1"/>
  <c r="S49" i="10"/>
  <c r="S61" i="10" s="1"/>
  <c r="L47" i="10"/>
  <c r="L48" i="10" s="1"/>
  <c r="I48" i="10" s="1"/>
  <c r="I46" i="10"/>
  <c r="I47" i="10" s="1"/>
  <c r="I57" i="10"/>
  <c r="E110" i="12" s="1"/>
  <c r="Q59" i="10"/>
  <c r="O61" i="10"/>
  <c r="U59" i="10"/>
  <c r="M30" i="10"/>
  <c r="J30" i="10"/>
  <c r="I29" i="10"/>
  <c r="Q30" i="10"/>
  <c r="Q49" i="10" l="1"/>
  <c r="Q61" i="10" s="1"/>
  <c r="M49" i="10"/>
  <c r="M61" i="10" s="1"/>
  <c r="L49" i="10"/>
  <c r="L61" i="10" s="1"/>
  <c r="U61" i="10"/>
  <c r="I30" i="10"/>
  <c r="J49" i="10"/>
  <c r="I49" i="10" l="1"/>
  <c r="I61" i="10" s="1"/>
  <c r="J61" i="10"/>
  <c r="I137" i="12" l="1"/>
  <c r="S45" i="12"/>
  <c r="Q134" i="12"/>
  <c r="T45" i="12"/>
  <c r="Q150" i="12"/>
  <c r="I134" i="12"/>
  <c r="I150" i="12"/>
  <c r="P45" i="12"/>
  <c r="M150" i="12"/>
  <c r="Q136" i="12"/>
  <c r="E150" i="12"/>
  <c r="E139" i="12"/>
  <c r="I139" i="12"/>
  <c r="O45" i="12"/>
  <c r="Q139" i="12"/>
  <c r="M137" i="12"/>
  <c r="M134" i="12"/>
  <c r="M139" i="12"/>
  <c r="Q137" i="12"/>
  <c r="K45" i="12"/>
  <c r="M45" i="12" l="1"/>
  <c r="Q45" i="12"/>
  <c r="M136" i="12"/>
  <c r="N45" i="12"/>
  <c r="G45" i="12"/>
  <c r="R45" i="12"/>
  <c r="I45" i="12"/>
  <c r="L45" i="12"/>
  <c r="J45" i="12"/>
  <c r="I136" i="12" l="1"/>
  <c r="H45" i="12"/>
  <c r="E45" i="12"/>
  <c r="F45" i="12"/>
  <c r="E6" i="13"/>
  <c r="E17" i="13" l="1"/>
  <c r="G131" i="12" l="1"/>
  <c r="H153" i="12"/>
  <c r="E140" i="12" l="1"/>
  <c r="M131" i="12"/>
  <c r="H132" i="12"/>
  <c r="Q153" i="12"/>
  <c r="E155" i="12"/>
  <c r="Q131" i="12"/>
  <c r="I131" i="12"/>
  <c r="M153" i="12"/>
  <c r="I153" i="12"/>
  <c r="H133" i="12"/>
  <c r="H130" i="12"/>
  <c r="G133" i="12"/>
  <c r="F133" i="12"/>
  <c r="G153" i="12"/>
  <c r="F153" i="12"/>
  <c r="H131" i="12"/>
  <c r="G130" i="12"/>
  <c r="F130" i="12"/>
  <c r="E153" i="12" l="1"/>
  <c r="M132" i="12"/>
  <c r="O159" i="12"/>
  <c r="E130" i="12"/>
  <c r="M133" i="12"/>
  <c r="I133" i="12"/>
  <c r="O21" i="12"/>
  <c r="O127" i="12" s="1"/>
  <c r="N21" i="12"/>
  <c r="N127" i="12" s="1"/>
  <c r="M128" i="12"/>
  <c r="E133" i="12"/>
  <c r="S21" i="12"/>
  <c r="S127" i="12" s="1"/>
  <c r="S159" i="12"/>
  <c r="I132" i="12"/>
  <c r="E129" i="12"/>
  <c r="I130" i="12"/>
  <c r="N159" i="12" l="1"/>
  <c r="N161" i="12" s="1"/>
  <c r="O161" i="12"/>
  <c r="M21" i="12"/>
  <c r="M127" i="12" s="1"/>
  <c r="R21" i="12"/>
  <c r="R127" i="12" s="1"/>
  <c r="P21" i="12"/>
  <c r="P127" i="12" s="1"/>
  <c r="S161" i="12"/>
  <c r="F131" i="12"/>
  <c r="E131" i="12" s="1"/>
  <c r="M130" i="12" l="1"/>
  <c r="P159" i="12"/>
  <c r="Q130" i="12"/>
  <c r="R159" i="12"/>
  <c r="R161" i="12" s="1"/>
  <c r="P161" i="12" l="1"/>
  <c r="M159" i="12"/>
  <c r="M161" i="12" s="1"/>
  <c r="F132" i="12" l="1"/>
  <c r="G132" i="12"/>
  <c r="E132" i="12" l="1"/>
  <c r="E154" i="12"/>
  <c r="F21" i="12" l="1"/>
  <c r="F127" i="12" s="1"/>
  <c r="F159" i="12" l="1"/>
  <c r="F161" i="12" l="1"/>
  <c r="G21" i="12" l="1"/>
  <c r="G127" i="12" s="1"/>
  <c r="G128" i="12"/>
  <c r="G159" i="12" l="1"/>
  <c r="J21" i="12"/>
  <c r="L21" i="12"/>
  <c r="L127" i="12" s="1"/>
  <c r="L159" i="12"/>
  <c r="K21" i="12"/>
  <c r="K159" i="12"/>
  <c r="K127" i="12" l="1"/>
  <c r="K161" i="12" s="1"/>
  <c r="G161" i="12"/>
  <c r="L161" i="12"/>
  <c r="H21" i="12"/>
  <c r="H127" i="12" s="1"/>
  <c r="H128" i="12"/>
  <c r="H159" i="12" s="1"/>
  <c r="I21" i="12" l="1"/>
  <c r="E128" i="12"/>
  <c r="H161" i="12" l="1"/>
  <c r="E159" i="12"/>
  <c r="E3" i="13"/>
  <c r="E21" i="12" l="1"/>
  <c r="E127" i="12" s="1"/>
  <c r="E161" i="12" l="1"/>
  <c r="Q133" i="12"/>
  <c r="Q126" i="12"/>
  <c r="T126" i="12"/>
  <c r="Q128" i="12"/>
  <c r="Q21" i="12" l="1"/>
  <c r="Q127" i="12" s="1"/>
  <c r="X128" i="14"/>
  <c r="U128" i="14" s="1"/>
  <c r="X191" i="14"/>
  <c r="U191" i="14" s="1"/>
  <c r="U231" i="14" s="1"/>
  <c r="U127" i="14"/>
  <c r="T21" i="12" l="1"/>
  <c r="T127" i="12" s="1"/>
  <c r="T132" i="12"/>
  <c r="X231" i="14"/>
  <c r="X328" i="14" l="1"/>
  <c r="Q132" i="12"/>
  <c r="T159" i="12"/>
  <c r="Q159" i="12" l="1"/>
  <c r="Q161" i="12" s="1"/>
  <c r="T161" i="12"/>
  <c r="E5" i="13" l="1"/>
  <c r="I127" i="12"/>
  <c r="J128" i="12"/>
  <c r="J127" i="12" l="1"/>
  <c r="E12" i="13"/>
  <c r="F5" i="13" s="1"/>
  <c r="E16" i="13"/>
  <c r="E20" i="13" s="1"/>
  <c r="J159" i="12"/>
  <c r="I128" i="12"/>
  <c r="J161" i="12" l="1"/>
  <c r="I159" i="12"/>
  <c r="F11" i="13"/>
  <c r="F6" i="13"/>
  <c r="F7" i="13"/>
  <c r="F8" i="13"/>
  <c r="F3" i="13"/>
  <c r="F4" i="13"/>
  <c r="F10" i="13"/>
  <c r="F9" i="13"/>
  <c r="I161" i="12" l="1"/>
</calcChain>
</file>

<file path=xl/comments1.xml><?xml version="1.0" encoding="utf-8"?>
<comments xmlns="http://schemas.openxmlformats.org/spreadsheetml/2006/main">
  <authors>
    <author>Mindaugas Šatkus</author>
  </authors>
  <commentList>
    <comment ref="P294" authorId="0" shapeId="0">
      <text>
        <r>
          <rPr>
            <b/>
            <sz val="9"/>
            <color indexed="81"/>
            <rFont val="Tahoma"/>
            <family val="2"/>
            <charset val="186"/>
          </rPr>
          <t>Mindaugas Šatkus:</t>
        </r>
        <r>
          <rPr>
            <sz val="9"/>
            <color indexed="81"/>
            <rFont val="Tahoma"/>
            <family val="2"/>
            <charset val="186"/>
          </rPr>
          <t xml:space="preserve">
01-11: papildyta 50 Vaivorykštės projektavimui
01-12: +50 Veiviržėnų gimnazija
</t>
        </r>
      </text>
    </comment>
  </commentList>
</comments>
</file>

<file path=xl/comments2.xml><?xml version="1.0" encoding="utf-8"?>
<comments xmlns="http://schemas.openxmlformats.org/spreadsheetml/2006/main">
  <authors>
    <author>Sonata Šmatauskienė</author>
  </authors>
  <commentList>
    <comment ref="D105" authorId="0" shapeId="0">
      <text>
        <r>
          <rPr>
            <b/>
            <sz val="9"/>
            <color indexed="81"/>
            <rFont val="Tahoma"/>
            <family val="2"/>
            <charset val="186"/>
          </rPr>
          <t>Sonata Šmatauskienė: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  <r>
          <rPr>
            <sz val="8"/>
            <color indexed="81"/>
            <rFont val="Tahoma"/>
            <family val="2"/>
            <charset val="186"/>
          </rPr>
          <t>Gargždų pėsčiųjų viaduko kapitalinis remontas - 85,0 Eur;
Veiviržėnų kapinių vartų tvarkyba - 30,0 Eur;
Vėžaičių dvaro sodybos pietinių ir šiaurinių vartų tvarkyba - 85,0 Eur;
Ablingos nuvirtusios skulptūros restauravimas ir atstatymas - 4,0 Eur (vykdytojas Endriejavo seniūnija);
Hidranto (vandens pompos) Priekulės m. pajungimas - 4,0 Eur;
metalinių vartų restauracija ir įrengimas tarp pastatų Klaipėdos g. 11 ir 13 - 2,0 Eur (vykdytojas Priekulės seniūnija)</t>
        </r>
        <r>
          <rPr>
            <sz val="9"/>
            <color indexed="81"/>
            <rFont val="Tahoma"/>
            <family val="2"/>
            <charset val="186"/>
          </rPr>
          <t xml:space="preserve">
2023-2024 m. Karaliaus Vilhelmo kanalo statinių komplekso Lankupių šliuzo remonto techninio projekto parengimas - po 20,0 Eur (vykdytojas Statybos ir infrastruktūros skyrius)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  <charset val="186"/>
          </rPr>
          <t>Sonata Šmatauskienė:</t>
        </r>
        <r>
          <rPr>
            <sz val="9"/>
            <color indexed="81"/>
            <rFont val="Tahoma"/>
            <family val="2"/>
            <charset val="186"/>
          </rPr>
          <t xml:space="preserve">
Veiviržėnų ir Eketės piliakalniai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  <charset val="186"/>
          </rPr>
          <t>Sonata Šmatauskienė:</t>
        </r>
        <r>
          <rPr>
            <sz val="9"/>
            <color indexed="81"/>
            <rFont val="Tahoma"/>
            <family val="2"/>
            <charset val="186"/>
          </rPr>
          <t xml:space="preserve">
KPO atskleidimas;
archeologiniai tyrimai Kukuliškių piliakalnyje pagal PRPD prašymai);
Vertinimo tarybos organizavimas; 
EPD renginių organizavimas.
</t>
        </r>
      </text>
    </comment>
  </commentList>
</comments>
</file>

<file path=xl/sharedStrings.xml><?xml version="1.0" encoding="utf-8"?>
<sst xmlns="http://schemas.openxmlformats.org/spreadsheetml/2006/main" count="3713" uniqueCount="1353">
  <si>
    <t>Klaipėdos rajono savivaldybės strateginio veiklos plano 2022-2024 m. 
1 priedas</t>
  </si>
  <si>
    <t>2022-2024 METŲ ŽINIŲ VISUOMENĖS PLĖTROS PROGRAMOS TIKSLŲ, UŽDAVINIŲ IR PRIEMONIŲ ASIGNAVIMŲ SUVESTINĖ</t>
  </si>
  <si>
    <t>tūkst. eurų</t>
  </si>
  <si>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</si>
  <si>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</si>
  <si>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</si>
  <si>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</si>
  <si>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</si>
  <si>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</si>
  <si>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Kodas biudžete</t>
  </si>
  <si>
    <t>Finansavimo šaltinis</t>
  </si>
  <si>
    <t>2021 m. faktas</t>
  </si>
  <si>
    <t>2022 m. asignavimai</t>
  </si>
  <si>
    <t>2023 m. išlaidų projektas</t>
  </si>
  <si>
    <t>2024 m. išlaidų projektas</t>
  </si>
  <si>
    <t>iš viso</t>
  </si>
  <si>
    <t>iš jų</t>
  </si>
  <si>
    <t>išlaidoms</t>
  </si>
  <si>
    <t>turtui įsigyti</t>
  </si>
  <si>
    <t xml:space="preserve">iš jų darbo užmokesčiui                    </t>
  </si>
  <si>
    <t>1 strateginis tikslas. Sudaryti palankias sąlygas sumaniems ir veikliems žmonėms gyventi ir veikti Klaipėdos rajone</t>
  </si>
  <si>
    <t>1. Žinių visuomenės plėtros programa</t>
  </si>
  <si>
    <t>Užtikrinti ugdymo programų įgyvendinimą, jų įvairovę</t>
  </si>
  <si>
    <t>Įgyvendinti bendruosius ugdymo planus, užtikrinti tinkamą ugdymo (si) aplinką rajono formaliojo švietimo įstaigoms</t>
  </si>
  <si>
    <t xml:space="preserve">Bendrųjų ugdymo planų, ikimokyklinio ir priešmokyklinio ugdymo programos įgyvendinimas  bei tinkamos ugdymo aplinkos užtikrinimas Gargždų „Minijos“ progimnazijoje </t>
  </si>
  <si>
    <t>11.1</t>
  </si>
  <si>
    <t>09.02.01.01.</t>
  </si>
  <si>
    <t>1.1.1.7.</t>
  </si>
  <si>
    <t>ML</t>
  </si>
  <si>
    <t>ML (covid)</t>
  </si>
  <si>
    <t>SB</t>
  </si>
  <si>
    <t>VBD (covid)</t>
  </si>
  <si>
    <t>LK</t>
  </si>
  <si>
    <t>VBD</t>
  </si>
  <si>
    <t>S</t>
  </si>
  <si>
    <t>Iš viso priemonei:</t>
  </si>
  <si>
    <t xml:space="preserve">Bendrųjų ugdymo planų   įgyvendinimas  bei tinkamos ugdymo aplinkos užtikrinimas Gargždų „Kranto“ pagrindinėje mokykloje </t>
  </si>
  <si>
    <t>11.2</t>
  </si>
  <si>
    <t>1.1.1.8.</t>
  </si>
  <si>
    <t xml:space="preserve">Bendrųjų ugdymo planų, ikimokyklinio ir priešmokyklinio ugdymo programos įgyvendinimas  bei tinkamos ugdymo aplinkos užtikrinimas Endriejavo pagrindinė mokykloje </t>
  </si>
  <si>
    <t>11.6</t>
  </si>
  <si>
    <t>1.1.1.9.</t>
  </si>
  <si>
    <t>Bendrųjų ugdymo planų įgyvendinimas  bei tinkamos ugdymo aplinkos užtikrinimas Gargždų „Vaivorykštės“ gimnazijoje</t>
  </si>
  <si>
    <t>11.3</t>
  </si>
  <si>
    <t>09.02.02.01.</t>
  </si>
  <si>
    <t>1.1.1.10.</t>
  </si>
  <si>
    <t>Bendrųjų ugdymo planų, ikimokyklinio ir priešmokyklinio ugdymo programos įgyvendinimas  bei tinkamos ugdymo aplinkos užtikrinimas Priekulės I.Simonaitytės gimnazijoje</t>
  </si>
  <si>
    <t>11.4</t>
  </si>
  <si>
    <t>1.1.1.11.</t>
  </si>
  <si>
    <t>Bendrųjų ugdymo planų, ikimokyklinio ir priešmokyklinio ugdymo programos įgyvendinimas  bei tinkamos ugdymo aplinkos užtikrinimas Veiviržėnų Jurgio Šaulio gimnazijoje</t>
  </si>
  <si>
    <t>11.5</t>
  </si>
  <si>
    <t>1.1.1.12.</t>
  </si>
  <si>
    <t>Bendrųjų ugdymo planų įgyvendinimas bei tinkamos ugdymo aplinkos užtikrinimas Agluonėnų pagrindinėje mokykloje</t>
  </si>
  <si>
    <t>11.7</t>
  </si>
  <si>
    <t>1.1.1.13.</t>
  </si>
  <si>
    <t>Bendrųjų ugdymo planų, ikimokyklinio ir priešmokyklinio ugdymo programos įgyvendinimas bei tinkamos ugdymo aplinkos užtikrinimas Dituvos pagrindinėje mokykloje</t>
  </si>
  <si>
    <t>11.8</t>
  </si>
  <si>
    <t>1.1.1.14.</t>
  </si>
  <si>
    <t>Bendrųjų ugdymo planų įgyvendinimas bei tinkamos ugdymo aplinkos užtikrinimas Dovilų  pagrindinėje mokykloje</t>
  </si>
  <si>
    <t>11.9</t>
  </si>
  <si>
    <t>1.1.1.15.</t>
  </si>
  <si>
    <t>Bendrųjų ugdymo planų, ikimokyklinio ir priešmokyklinio ugdymo programos įgyvendinimas bei tinkamos ugdymo aplinkos užtikrinimas Ketvergių pagrindinėje mokykloje</t>
  </si>
  <si>
    <t>11.12</t>
  </si>
  <si>
    <t>1.1.1.18.</t>
  </si>
  <si>
    <t>Bendrųjų ugdymo planų, ikimokyklinio ir priešmokyklinio ugdymo programos įgyvendinimas bei tinkamos ugdymo aplinkos užtikrinimas Kretingalės pagrindinėje mokykloje</t>
  </si>
  <si>
    <t>11.13</t>
  </si>
  <si>
    <t>1.1.1.19.</t>
  </si>
  <si>
    <t>Bendrųjų ugdymo planų, ikimokyklinio ir priešmokyklinio ugdymo programos įgyvendinimas bei tinkamos ugdymo aplinkos užtikrinimas Lapių pagrindinėje mokykloje</t>
  </si>
  <si>
    <t>11.14</t>
  </si>
  <si>
    <t>1.1.1.20.</t>
  </si>
  <si>
    <t>VBD(covid)</t>
  </si>
  <si>
    <t>Bendrųjų ugdymo planų, ikimokyklinio ir priešmokyklinio ugdymo programos įgyvendinimas bei tinkamos ugdymo aplinkos užtikrinimas Plikių I. Labutytės pagrindinėje mokykloje</t>
  </si>
  <si>
    <t>11.16</t>
  </si>
  <si>
    <t>1.1.1.22.</t>
  </si>
  <si>
    <t>Bendrųjų ugdymo planų, ikimokyklinio ir priešmokyklinio ugdymo programos įgyven-dinimas bei tinkamos ugdymo aplinkos užtikrinimas Vėžaičių pagrindinėje mokykloje</t>
  </si>
  <si>
    <t>11.18</t>
  </si>
  <si>
    <t>1.1.1.24.</t>
  </si>
  <si>
    <t>Ikimokyklinio ir priešmokyklinio ugdymo programų įgyvendinimas bei tinkamos ugdymo aplinkos užtikrinimas Gargždų lopšelyje -darželyje „Ąžuoliukas“</t>
  </si>
  <si>
    <t>11.19</t>
  </si>
  <si>
    <t>09.01.01.01.</t>
  </si>
  <si>
    <t>1.1.1.26.</t>
  </si>
  <si>
    <t>Ikimokyklinio ir priešmokyklinio ugdymų programų įgyvendinimas bei tinkamos ugdymo aplinkos užtikrinimas Gargždų lopšelyje - darželyje „Gintarėlis“</t>
  </si>
  <si>
    <t>11.20</t>
  </si>
  <si>
    <t>1.1.1.27.</t>
  </si>
  <si>
    <t>Ikimokyklinio ir priešmokyklinio ugdymų programų įgyvendinimas bei tinkamos ugdymo aplinkos užtikrinimas Gargždų lopšelyje - darželyje „Saulutė“</t>
  </si>
  <si>
    <t>11.21</t>
  </si>
  <si>
    <t>1.1.1.28.</t>
  </si>
  <si>
    <t xml:space="preserve">Ikimokyklinio ir priešmokyklinio ugdymų programų įgyvendinimas bei tinkamos ugdymo aplinkos užtikrinimas Gargždų lopšelyje - darželyje „Naminukas“ </t>
  </si>
  <si>
    <t>11.22</t>
  </si>
  <si>
    <t>1.1.1.29.</t>
  </si>
  <si>
    <t>Ikimokyklinio ir priešmokyklinio ugdymų programų įgyvendinimas bei tinkamos ugdymo aplinkos užtikrinimas Priekulės lopšelyje - darželyje</t>
  </si>
  <si>
    <t>11.26</t>
  </si>
  <si>
    <t>1.1.1.33.</t>
  </si>
  <si>
    <t>Ikimokyklinio ir priešmokyklinio ugdymų programų įgyvendinimas bei tinkamos ugdymo aplinkos užtikrinimas Slengių mokykloje daugiafunkciame centre</t>
  </si>
  <si>
    <t>11.36</t>
  </si>
  <si>
    <t>09.01.02.01.</t>
  </si>
  <si>
    <t>1.1.1.36.</t>
  </si>
  <si>
    <t xml:space="preserve">Atsiskaitymas už  vaikų ugdymą Klaipėdos miesto savivaldybės ir privačiose ikimokyklinėse ir bendrojo ugdymo įstaigose </t>
  </si>
  <si>
    <t>1.4.4.30.</t>
  </si>
  <si>
    <t>VBD (GNP)</t>
  </si>
  <si>
    <t>Lėšos išeitinėms išmokoms ir kitoms su darbo santykiais susijusioms išmokoms ir kompensacijoms mokėti</t>
  </si>
  <si>
    <t>09.02.02.01. 09.01.02.01 09.01.01.01. 09.02.01.01.</t>
  </si>
  <si>
    <t>1.4.4.31.</t>
  </si>
  <si>
    <t>Metų mokytojo vardo premijos skyrimas ir Tarptautinės mokytojo dienos renginio organizavimas</t>
  </si>
  <si>
    <t>11</t>
  </si>
  <si>
    <t>09.01.02.01</t>
  </si>
  <si>
    <t>1.1.3.4.</t>
  </si>
  <si>
    <t>iš viso priemonei:</t>
  </si>
  <si>
    <t>Projekto "Mokyklų tinklo efektyvumo didinimas Klaipėdos rajone" įgyvendinimas</t>
  </si>
  <si>
    <t>09.02.02.01</t>
  </si>
  <si>
    <t>1.1.3.6.</t>
  </si>
  <si>
    <t>ES</t>
  </si>
  <si>
    <t>VBES</t>
  </si>
  <si>
    <t>Projekto "Ikimokyklinio ir priešmokyklinio ugdymo prieinamumo didinimas Klaipėdos rajone" įgyvendinimas (Gobergiškės projektas)</t>
  </si>
  <si>
    <t>9</t>
  </si>
  <si>
    <t>1.1.3.7.</t>
  </si>
  <si>
    <t>SL</t>
  </si>
  <si>
    <t>Projekto "Ikimokyklinio ir priešmokyklinio ugdymo prieinamumo didinimas Klaipėdos rajone" įgyvendinimas II etapas (Slengių darželis)</t>
  </si>
  <si>
    <t>1.1.3.12.</t>
  </si>
  <si>
    <t>Projekto  "Mokinių ugdymosi pasiekimų gerinimas diegiant kokybės krepšelį" bendrojo ugdymo mokyklose</t>
  </si>
  <si>
    <t>1.1.3.11.</t>
  </si>
  <si>
    <t>Pedagoginės psichologinės tarnybos veiklos užtikrinimas</t>
  </si>
  <si>
    <t>11.34</t>
  </si>
  <si>
    <t>09.05.01.03</t>
  </si>
  <si>
    <t>1.1.4.1.</t>
  </si>
  <si>
    <t>Mokinių vežimo į ugdymo įstaigas finansavimas</t>
  </si>
  <si>
    <t>09.06.01.01</t>
  </si>
  <si>
    <t>1.1.5.1.</t>
  </si>
  <si>
    <t>Gargždų "Kranto" pagrindinės mokyklos teritorijos sutvarkymo (apimant ir sporto sektorių) projektavimas ir įrengimas</t>
  </si>
  <si>
    <t>09.01.01.01</t>
  </si>
  <si>
    <t>1.1.5.3.</t>
  </si>
  <si>
    <t>Švietimo įstaigų elektros ir kuro išlaidų finansavimas</t>
  </si>
  <si>
    <t>09.02.02.01. 09.01.02.01 09.01.01.01. 09.02.01.01 09.05.01.01-   09.05.01.03</t>
  </si>
  <si>
    <t>1.1.5.4</t>
  </si>
  <si>
    <t>iš viso uždaviniui:</t>
  </si>
  <si>
    <t>Sudaryti sąlygas tenkinti mokinių pažinimo, lavinimosi ir saviraiškos poreikius</t>
  </si>
  <si>
    <t>Konkursų, olimpiadų, renginių  organizavimas rajone ir dalyvavimas respublikiniuose renginiuose</t>
  </si>
  <si>
    <t>09.08.01.02.</t>
  </si>
  <si>
    <t>1.1.2.2.</t>
  </si>
  <si>
    <t xml:space="preserve">Neformaliojo ugdymo programų įgyvendinimas ir tinkamos aplinkos užtikrinimas  Gargždų muzikos mokykloje </t>
  </si>
  <si>
    <t>11.28</t>
  </si>
  <si>
    <t>09.05.01.01.</t>
  </si>
  <si>
    <t>1.1.2.3.</t>
  </si>
  <si>
    <t>Neformaliojo ugdymo programų įgyvendinimas ir tinkamos aplinkos užtikrinimas  Gargždų vaikų ir jaunimo  laisvalaikio centre</t>
  </si>
  <si>
    <t>11.30</t>
  </si>
  <si>
    <t>1.1.2.5.</t>
  </si>
  <si>
    <t>Neformaliojo vaikų švietimo programos įgyvendinimas</t>
  </si>
  <si>
    <t>09.05.01.01</t>
  </si>
  <si>
    <t>1.2.1.5.</t>
  </si>
  <si>
    <t>Vaikų vasaros poilsio programų įgyvendinimas</t>
  </si>
  <si>
    <t>1.1.3.5.</t>
  </si>
  <si>
    <t>Neformaliojo suaugusiųjų švietimo programų finansavimas</t>
  </si>
  <si>
    <t>09.05.01.02.</t>
  </si>
  <si>
    <t>1.1.3.3.</t>
  </si>
  <si>
    <t>Neformaliojo vaikų švietimo elektroninės apskaitos diegimas</t>
  </si>
  <si>
    <t>1.1.3.13.</t>
  </si>
  <si>
    <t xml:space="preserve">                   Iš viso priemonei:  </t>
  </si>
  <si>
    <t>Mokinių verslumo ir finansinio raštingumo projektų iniciatyvų skatinimas švietimo įstaigose</t>
  </si>
  <si>
    <t>09.02.01.01</t>
  </si>
  <si>
    <t>1.1.3.14.</t>
  </si>
  <si>
    <t xml:space="preserve">                 iš viso priemonei:</t>
  </si>
  <si>
    <t>Sudaryti sąlygas gyventojams Klaipėdos rajono švietimo centre tenkinti pažinimo poreikius, tobulinti įgytą kvalifikaciją</t>
  </si>
  <si>
    <t>Klaipėdos rajono švietimo centro veiklos užtikrinimas</t>
  </si>
  <si>
    <t>11.33</t>
  </si>
  <si>
    <t>1.4.1.6.</t>
  </si>
  <si>
    <t>Pedagogų rengimo, perkvalifikavimo, jaunųjų pedagogų pritraukimo ir mokytojo prestižo didinimo dalinis finansavimas</t>
  </si>
  <si>
    <t>1.1.3.17.</t>
  </si>
  <si>
    <t>Iš viso tikslui:</t>
  </si>
  <si>
    <t>Modernizuoti švietimo įstaigas</t>
  </si>
  <si>
    <t>Remontuoti ir rekonstruoti švietimo įstaigas</t>
  </si>
  <si>
    <t>Neformaliojo švietimo infrastruktūros tobulinimas Klaipėdos rajone (Priekulės MM)</t>
  </si>
  <si>
    <t>1.4.4.3.</t>
  </si>
  <si>
    <t>Švietimo įstaigoms autobusų pirkimas</t>
  </si>
  <si>
    <t>11.23</t>
  </si>
  <si>
    <t>Švietimo įstaigų patalpų remontas, mokyklinių autobusų remontas, buitinės, organizacinės technikos, mokymo priemonių įsigijimas</t>
  </si>
  <si>
    <t xml:space="preserve">09.02.01.01. </t>
  </si>
  <si>
    <t>1.4.4.28.</t>
  </si>
  <si>
    <t xml:space="preserve">09.02.02.01. </t>
  </si>
  <si>
    <t>11.17</t>
  </si>
  <si>
    <t xml:space="preserve">09.01.01.01. </t>
  </si>
  <si>
    <t>11.24</t>
  </si>
  <si>
    <t>11.25</t>
  </si>
  <si>
    <t>11.26.</t>
  </si>
  <si>
    <t>11.32</t>
  </si>
  <si>
    <t>09.05.01.03.</t>
  </si>
  <si>
    <t xml:space="preserve">Daugiafunkcio centro Sendvario seniūnijoje statyba viešos ir privačios partnerystės būdu </t>
  </si>
  <si>
    <t>1.4.4.41.</t>
  </si>
  <si>
    <t>Lopšelio-darželio statyba Gargžduose</t>
  </si>
  <si>
    <t>1.3.1.5.</t>
  </si>
  <si>
    <t>1.3.3.6.</t>
  </si>
  <si>
    <t>Gargždų „Minijos“ progimnazijos Jakų skyriaus pastato statybos projekto parengimas ir statybos darbai</t>
  </si>
  <si>
    <t>1.3.3.13.</t>
  </si>
  <si>
    <t>VBD (VIP)</t>
  </si>
  <si>
    <t>VBD(GNP)</t>
  </si>
  <si>
    <t>KT</t>
  </si>
  <si>
    <t>1.3.3.4.</t>
  </si>
  <si>
    <t>Priekulės I. Simonaitytės gimnazijos aktų salės projektavimas ir statyba</t>
  </si>
  <si>
    <t>1.3.3.20.</t>
  </si>
  <si>
    <t>Vėdinimo ir kondicionavimo sistemos diegimas savivaldybės egzaminų centre</t>
  </si>
  <si>
    <t>1.1.3.16.</t>
  </si>
  <si>
    <t>Atsinaujinančių energijos išteklių (saulės) panaudojimas Priekulės Ievos Simonaitytės gimnazijoje</t>
  </si>
  <si>
    <t>1.3.3.23.</t>
  </si>
  <si>
    <t>Kt</t>
  </si>
  <si>
    <t>Atsinaujinančių energijos išteklių (saulės) panaudojimas Vėžaičių pagrindinėje mokykloje</t>
  </si>
  <si>
    <t>1.3.3.24.</t>
  </si>
  <si>
    <t>Priekulės I. Simonaitytės gimnazijos sporto aikštyno atnaujinimas</t>
  </si>
  <si>
    <t>1.3.3.25.</t>
  </si>
  <si>
    <t>iš viso tikslui:</t>
  </si>
  <si>
    <t>Iš viso programai:</t>
  </si>
  <si>
    <r>
      <t xml:space="preserve">Savivaldybės pajamos iš surenkamų mokesčių </t>
    </r>
    <r>
      <rPr>
        <b/>
        <sz val="8"/>
        <rFont val="Arial"/>
        <family val="2"/>
        <charset val="186"/>
      </rPr>
      <t>SB</t>
    </r>
  </si>
  <si>
    <r>
      <t xml:space="preserve">Valstybės biudžeto specialioji tikslinė dotacija </t>
    </r>
    <r>
      <rPr>
        <b/>
        <sz val="8"/>
        <rFont val="Arial"/>
        <family val="2"/>
        <charset val="186"/>
      </rPr>
      <t>VBD</t>
    </r>
  </si>
  <si>
    <r>
      <t xml:space="preserve">ES struktūriių fondų lėšos </t>
    </r>
    <r>
      <rPr>
        <b/>
        <sz val="8"/>
        <rFont val="Arial"/>
        <family val="2"/>
        <charset val="186"/>
      </rPr>
      <t>ES</t>
    </r>
  </si>
  <si>
    <r>
      <t xml:space="preserve">Valstybės biudžeto lėšos ES strutūrinių fondų projektams </t>
    </r>
    <r>
      <rPr>
        <b/>
        <sz val="8"/>
        <rFont val="Arial"/>
        <family val="2"/>
        <charset val="186"/>
      </rPr>
      <t>VBES</t>
    </r>
  </si>
  <si>
    <r>
      <t xml:space="preserve">Mokymo lėšos </t>
    </r>
    <r>
      <rPr>
        <b/>
        <sz val="8"/>
        <rFont val="Arial"/>
        <family val="2"/>
        <charset val="186"/>
      </rPr>
      <t>ML</t>
    </r>
  </si>
  <si>
    <r>
      <t xml:space="preserve">Speciali tikslinė dotacija mokymo reikmėms finansuoti </t>
    </r>
    <r>
      <rPr>
        <b/>
        <sz val="8"/>
        <rFont val="Arial"/>
        <family val="2"/>
        <charset val="186"/>
      </rPr>
      <t>ML (covid)</t>
    </r>
  </si>
  <si>
    <r>
      <t xml:space="preserve">Lėšos už paslaugas ir nuomą </t>
    </r>
    <r>
      <rPr>
        <b/>
        <sz val="8"/>
        <rFont val="Arial"/>
        <family val="2"/>
        <charset val="186"/>
      </rPr>
      <t>S</t>
    </r>
  </si>
  <si>
    <r>
      <t xml:space="preserve">Gaunamos lėšos pandemijos pasekmėms mažinti </t>
    </r>
    <r>
      <rPr>
        <b/>
        <sz val="8"/>
        <rFont val="Arial"/>
        <family val="2"/>
        <charset val="186"/>
      </rPr>
      <t>VBD (covid)</t>
    </r>
  </si>
  <si>
    <r>
      <t xml:space="preserve">Savivaldybės biudžeto lėšų nepanaudoti likučiai </t>
    </r>
    <r>
      <rPr>
        <b/>
        <sz val="8"/>
        <rFont val="Arial"/>
        <family val="2"/>
        <charset val="186"/>
      </rPr>
      <t>LK</t>
    </r>
  </si>
  <si>
    <r>
      <t xml:space="preserve">Dotacija valstybės investicijų programoje numatytiems projektams įgyvendinti </t>
    </r>
    <r>
      <rPr>
        <b/>
        <sz val="8"/>
        <rFont val="Arial"/>
        <family val="2"/>
        <charset val="186"/>
      </rPr>
      <t>VBD (VIP)</t>
    </r>
  </si>
  <si>
    <r>
      <t xml:space="preserve">Dotacija 2020 m. savivaldybių biudžetų negautoms pajamoms padengti </t>
    </r>
    <r>
      <rPr>
        <b/>
        <sz val="8"/>
        <rFont val="Arial"/>
        <family val="2"/>
        <charset val="186"/>
      </rPr>
      <t>VBD (GNP)</t>
    </r>
  </si>
  <si>
    <r>
      <t xml:space="preserve">Skolintos lėšos </t>
    </r>
    <r>
      <rPr>
        <b/>
        <sz val="8"/>
        <rFont val="Arial"/>
        <family val="2"/>
        <charset val="186"/>
      </rPr>
      <t>SL</t>
    </r>
  </si>
  <si>
    <r>
      <t xml:space="preserve">Kiti finansavimo šaltiniai </t>
    </r>
    <r>
      <rPr>
        <b/>
        <sz val="8"/>
        <rFont val="Arial"/>
        <family val="2"/>
        <charset val="186"/>
      </rPr>
      <t>Kt</t>
    </r>
  </si>
  <si>
    <t>IŠ VISO:</t>
  </si>
  <si>
    <t>Klaipėdos rajono savivaldybės strateginio
veiklos plano 2022-2024 m. 
1 priedas</t>
  </si>
  <si>
    <t>2022-2024 METŲ EKONOMINIO KONKURENCINGUMO DIDINIMO PROGRAMOS TIKSLŲ, UŽDAVINIŲ IR PRIEMONIŲ ASIGNAVIMŲ SUVESTINĖ</t>
  </si>
  <si>
    <t>2 Ekonominio konkurencingumo didinimo programa</t>
  </si>
  <si>
    <t>Kurti verslui bei investicijoms palankią aplinką Klaipėdos rajone</t>
  </si>
  <si>
    <t>Skatinti verslumą bendradarbiaujant vietos savivaldai ir verslui bei remiant rajono verslininkus ir ūkininkus</t>
  </si>
  <si>
    <t>Klaipėdos  rajono savivaldybės smulkiojo verslo rėmimo programos įgyvendinimas</t>
  </si>
  <si>
    <t>04.01.01.01</t>
  </si>
  <si>
    <t>2.1.2.1.</t>
  </si>
  <si>
    <t>Klaipėdos rajono žemės ūkio ir kaimo plėtros rėmimo programa</t>
  </si>
  <si>
    <t>04.02.01.07</t>
  </si>
  <si>
    <t>2.1.2.2.</t>
  </si>
  <si>
    <t>Iš viso uždaviniui:</t>
  </si>
  <si>
    <t>Gerinti žemdirbystės sąlygas bei skatinti kaimo plėtrą Klaipėdos rajone</t>
  </si>
  <si>
    <t>Rekonstruoti bei remontuoti melioracijos statinius, polderines sistemas</t>
  </si>
  <si>
    <t>Magistralinių melioracijos griovių tvarkymas (šienavimas, krūmų kirtimas, drenažo žiočių atnaujinimas, griovių dugno valymas) drenažo avarinis remontas, apsauginių pylimų priežiūra ir remontas, pralaidų rekonstravimas ir melioracijos projektų rengimas</t>
  </si>
  <si>
    <t>04.02.01.01</t>
  </si>
  <si>
    <t>2.2.1.8.</t>
  </si>
  <si>
    <t>Projekto "Melioracijos statinių: Brukšvų siurblinės bei tilto per griovį J rekonstrukcija Brukšvų ir Jokšų polderiuose, Klaipėdos raj., Priekulės sen." įgyvendinimas</t>
  </si>
  <si>
    <t>2.2.1.25</t>
  </si>
  <si>
    <t>Klaipėdos rajono Šiūparių kadastro vietovės dalies melioracijos sistemų rekonstrukcija</t>
  </si>
  <si>
    <t>2.2.1.26</t>
  </si>
  <si>
    <t>ES (Kt)</t>
  </si>
  <si>
    <t>Vykdyti einamuosius melioracijos darbus</t>
  </si>
  <si>
    <t>Perteklinio vandens pašalinimo darbai (siurblinių aptarnaujančio personalo išlaikymas, elektra ir einamasis remontas). Polderių griovių ir pylimų priežiūros ir remonto darbai</t>
  </si>
  <si>
    <t>2.2.2.1.</t>
  </si>
  <si>
    <t>Kadastro vedimas</t>
  </si>
  <si>
    <t>2.2.2.3.</t>
  </si>
  <si>
    <t>ESRI ArcGIS programinės įrangos licencijos palaikymas</t>
  </si>
  <si>
    <t>2.2.1.17</t>
  </si>
  <si>
    <t>Plėtoti turizmą ir turizmo paslaugas rajone</t>
  </si>
  <si>
    <t>Didinti ir gerinti turizmo paslaugų teikimą</t>
  </si>
  <si>
    <r>
      <t xml:space="preserve">Klaipėdos rajono turizmo informacijos centro veiklos užtikrinimas
</t>
    </r>
    <r>
      <rPr>
        <i/>
        <sz val="8"/>
        <rFont val="Arial"/>
        <family val="2"/>
        <charset val="186"/>
      </rPr>
      <t xml:space="preserve">(dalyvavimas  turizmo parodose; įvairių turizmo reprezentacinių priemonių rengimas; Minijos žemupio regata; </t>
    </r>
    <r>
      <rPr>
        <sz val="8"/>
        <rFont val="Arial"/>
        <family val="2"/>
        <charset val="186"/>
      </rPr>
      <t>Inovatyvios informacinės sistemos sukūrias ir įdiegimas Priekulės mieste)</t>
    </r>
  </si>
  <si>
    <t>15.1</t>
  </si>
  <si>
    <t>04.07.03.01</t>
  </si>
  <si>
    <t>2.3.1.1.</t>
  </si>
  <si>
    <t>Vykdyti aktyvią turizmo rinkodarą rajone</t>
  </si>
  <si>
    <t>Dalyvavimas didinant regiono pasiekiamumą oro transportu</t>
  </si>
  <si>
    <t>10</t>
  </si>
  <si>
    <t>2.3.2.11</t>
  </si>
  <si>
    <t>Projekto „Karklės atlasas“ įgyvendinimas</t>
  </si>
  <si>
    <t>2.3.2.14</t>
  </si>
  <si>
    <t>Klaipėdos rajoną pristatančio reklaminio filmo sukūrimas</t>
  </si>
  <si>
    <t>12.1</t>
  </si>
  <si>
    <t>2.3.2.15.</t>
  </si>
  <si>
    <t xml:space="preserve">Projekto „Pietų Baltijos krantas – ilgalaikių laivybos krypčių tarp šalių kūrimas MARRIAGE bendradarbiavimo tinklų pagrindu“ įgyvendinimas </t>
  </si>
  <si>
    <t>15</t>
  </si>
  <si>
    <t>2.3.2.18</t>
  </si>
  <si>
    <t>Gerinti turizmo infrastruktūrą siekiant didinti turistų srautus</t>
  </si>
  <si>
    <t xml:space="preserve">Dalyvavimas projekte "Baltų kelias" </t>
  </si>
  <si>
    <t>2.3.3.27</t>
  </si>
  <si>
    <t>Gargždų karjerų teritorijos plėtra ir vystymas bei pritaikymas turizmo ir rekreacijos reikmėms</t>
  </si>
  <si>
    <t>2.3.2.29</t>
  </si>
  <si>
    <t>Pėščiųjų ir vandens turistinių maršrutų sukūrimas, ženklinimas bei reikalingos infrastruktūros sukūrimas ((Minijos upės maršruto ženklinimas, ,, Kalnų takai" Lapiuose, ,,Pamario takai" Drevernoje, pėsčiųjų maršrutai Walk 15 programėlėje)</t>
  </si>
  <si>
    <t xml:space="preserve">2.3.2.28. </t>
  </si>
  <si>
    <t>Skatinti rajono urbanistinę plėtrą organizuojant planų ir projektų rengimą bei nuolat atnaujinant rajono geoinformacinę sistemą (GIS)</t>
  </si>
  <si>
    <t>Rengti visuomenės poreikius tenkinančius teritorijų planavimo (detaliuosius planus) bei žemėtvarkos (žemės valdų projektus) dokumentus</t>
  </si>
  <si>
    <r>
      <t xml:space="preserve">Detaliųjų planų rengimas
</t>
    </r>
    <r>
      <rPr>
        <i/>
        <sz val="8"/>
        <rFont val="Arial"/>
        <family val="2"/>
        <charset val="186"/>
      </rPr>
      <t>(Gargždų miesto centro urbanistinės koncepcijos parengimas ir detaliojo plano keitimas)</t>
    </r>
  </si>
  <si>
    <t>04.09.01.01</t>
  </si>
  <si>
    <t>2.4.1.21.</t>
  </si>
  <si>
    <t>2.4.1.21.31.</t>
  </si>
  <si>
    <t>2.4.1.21.32.</t>
  </si>
  <si>
    <t>Žemės valdų projektų rengimas</t>
  </si>
  <si>
    <t>2.4.1.26</t>
  </si>
  <si>
    <t>Rengti Klaipėdos rajono miestų ir miestelių bendruosius planus bei inžinerinės infrastruktūros ir susisiekimo sistemų specialiuosius planus</t>
  </si>
  <si>
    <t>Bendrųjų planų ir bendrųjų planų monitoringų rengimas</t>
  </si>
  <si>
    <t>2.4.1.45</t>
  </si>
  <si>
    <t>Specialiųjų planų ir žemės paėmimo visuomenės poreikiams projektų rengimas ir įgyvendinimas</t>
  </si>
  <si>
    <t>2</t>
  </si>
  <si>
    <t>04.05.01.02</t>
  </si>
  <si>
    <t>2.4.1.37</t>
  </si>
  <si>
    <t>Kokybiškai administruoti Klaipėdos rajono GIS duomenų bazę</t>
  </si>
  <si>
    <t xml:space="preserve">Teritorijų planavimo dokumentų archyvo suskaitmeninimo paslaugos, duomenų patalpinimas TPDRIS ir GIS sistemose </t>
  </si>
  <si>
    <t>2.4.4.2</t>
  </si>
  <si>
    <t>Rengti projektus, projektinius pasiūlymus, studijas, mokslinius darbus viešųjų erdvių ir teritorijų vystymui</t>
  </si>
  <si>
    <t xml:space="preserve">Gargždų miesto ir rajono architektūrinį ir urbanistinį įvaizdį gerinančių priemonių planų rengimas ir įgyvendinimas
</t>
  </si>
  <si>
    <t>2.4.5.1</t>
  </si>
  <si>
    <t>2.4.5.1.35</t>
  </si>
  <si>
    <r>
      <t xml:space="preserve">ES struktūrinių fondų lėšos </t>
    </r>
    <r>
      <rPr>
        <b/>
        <sz val="8"/>
        <rFont val="Arial"/>
        <family val="2"/>
        <charset val="186"/>
      </rPr>
      <t>ES</t>
    </r>
  </si>
  <si>
    <r>
      <t xml:space="preserve">ES struktūrinių fondų lėšos, tenkančios partneriams </t>
    </r>
    <r>
      <rPr>
        <b/>
        <sz val="8"/>
        <rFont val="Arial"/>
        <family val="2"/>
        <charset val="186"/>
      </rPr>
      <t>ES(Kt)</t>
    </r>
  </si>
  <si>
    <r>
      <t xml:space="preserve">Kitos lėšos </t>
    </r>
    <r>
      <rPr>
        <b/>
        <sz val="8"/>
        <rFont val="Arial"/>
        <family val="2"/>
        <charset val="186"/>
      </rPr>
      <t>Kt</t>
    </r>
  </si>
  <si>
    <r>
      <rPr>
        <sz val="8"/>
        <rFont val="Arial"/>
        <family val="2"/>
        <charset val="186"/>
      </rPr>
      <t xml:space="preserve">Dotacija 2020 m. savivaldybių biudžetų negautoms pajamoms padengti </t>
    </r>
    <r>
      <rPr>
        <b/>
        <sz val="8"/>
        <rFont val="Arial"/>
        <family val="2"/>
        <charset val="186"/>
      </rPr>
      <t>VBD (GNP)</t>
    </r>
  </si>
  <si>
    <r>
      <t xml:space="preserve">Valstybės biudžeto lėšos ES struktūrinių fondų lėšos </t>
    </r>
    <r>
      <rPr>
        <b/>
        <sz val="8"/>
        <rFont val="Arial"/>
        <family val="2"/>
        <charset val="186"/>
      </rPr>
      <t>VBES</t>
    </r>
  </si>
  <si>
    <t>Klaipėdos rajono savivaldybės strateginio veiklos plano 2022-2024 m.         
1 priedas</t>
  </si>
  <si>
    <t>2022-2024 METŲ APLINKOS APSAUGOS PROGRAMOS TIKSLŲ, UŽDAVINIŲ IR PRIEMONIŲ ASIGNAVIMŲ SUVESTINĖ</t>
  </si>
  <si>
    <t>Išlaidoms</t>
  </si>
  <si>
    <t>2 strateginis tikslas. Kelti rajono gyvenimo kokybę kuriant bei palaikant saugią ir švarią aplinką</t>
  </si>
  <si>
    <t>3 Aplinkos apsaugos programa</t>
  </si>
  <si>
    <t>Modernizuoti bei plėtoti vandens tiekimo, nuotekų bei lietaus vandens nuvedimo sistemų infrastruktūrą Klaipėdos rajone</t>
  </si>
  <si>
    <t>Modernizuoti vandens tiekimo ir nuotekų sistemą</t>
  </si>
  <si>
    <t>Klaipėdos rajono vandens tiekimo ir nuotekų tvarkymo infrastruktūros plėtros specialiojo plano atnaujinimas</t>
  </si>
  <si>
    <t>06.03.01.01</t>
  </si>
  <si>
    <t>3.1.1.68</t>
  </si>
  <si>
    <t>Geriamojo vandens tiekimo ir buitinių nuotekų tvarkymo tinklų įrengimas ir rekonstravimas Klaipėdos rajone pagal dalinai ES lėšomis finansuojamus projektus</t>
  </si>
  <si>
    <t>9.2</t>
  </si>
  <si>
    <t>05.02.01.01</t>
  </si>
  <si>
    <t>3.1.1.70</t>
  </si>
  <si>
    <t>Geriamojo vandens tiekimo ir buitinių nuotekų tvarkymo tinklų plėtra Klaipėdos rajone</t>
  </si>
  <si>
    <t>3.1.1.71</t>
  </si>
  <si>
    <t>Geriamojo vandens tiekimo ir buitinių nuotekų tvarkymo tinklų rekonstravimas bei atnaujinimas Klaipėdos rajone</t>
  </si>
  <si>
    <t>3.1.1.72</t>
  </si>
  <si>
    <t>Vandens gerinimas Klaipėdos rajone</t>
  </si>
  <si>
    <t>3.1.1.73</t>
  </si>
  <si>
    <t>Nuotekų valymas Klaipėdos rajone</t>
  </si>
  <si>
    <t>3.1.1.74</t>
  </si>
  <si>
    <t>Prižiūrėti esamas ir planuoti naujas lietaus vandens nubėgimo ir surinkimo sistemas</t>
  </si>
  <si>
    <t xml:space="preserve">Paviršinio lietaus vandens surinkimo sistemų projektavimas ir įrengimas Sendvario seniūnijoje, Jakų k., II etapas </t>
  </si>
  <si>
    <t>3.1.2.1.</t>
  </si>
  <si>
    <t>Paviršinių nuotekų šalinimo tinklų įrengimas Gargždų miesto Pušų g. atkarpoje nuo Žvejų g. iki J. Basanavičiaus g. bei lietaus nuotekų šalinimo tinklų statyba Gargždų m. Žalgirio g. ir Kvietinių g. - I etapas</t>
  </si>
  <si>
    <t>3.1.2.3.</t>
  </si>
  <si>
    <r>
      <t>Klaipėdos rajono lietaus kanalizacijos tinklų remontas ir priežiūra</t>
    </r>
    <r>
      <rPr>
        <b/>
        <sz val="8"/>
        <color rgb="FF0070C0"/>
        <rFont val="Arial"/>
        <family val="2"/>
        <charset val="186"/>
      </rPr>
      <t/>
    </r>
  </si>
  <si>
    <t>3.1.1.14.</t>
  </si>
  <si>
    <t>Paviršinių nuotekų šalinimo tinklų įrengimas Gindulių k. Liepų, Ievų g., Toplaukio g.</t>
  </si>
  <si>
    <t>3.1.1.61.</t>
  </si>
  <si>
    <t xml:space="preserve">Paviršinio lietaus vandens surinkimo sistemos įrengimas Girkalių k., Sodų g. </t>
  </si>
  <si>
    <t>3.1.1.69.</t>
  </si>
  <si>
    <t>Klaipėdos rajono lietaus nuotekų tinklų plėtros specialiojo plano rengimas</t>
  </si>
  <si>
    <t>3.1.1.78</t>
  </si>
  <si>
    <t>Paviršinių lietaus nuotekų tvarkymas</t>
  </si>
  <si>
    <t>9.3</t>
  </si>
  <si>
    <t>05.01.01.01</t>
  </si>
  <si>
    <t>3.1.1.51</t>
  </si>
  <si>
    <t>Klaipėdos rajono vandentiekio ir nuotekų tinklų projektavimas</t>
  </si>
  <si>
    <t>3.1.1.75</t>
  </si>
  <si>
    <t>Savivaldybės administracijos išlaidos apmokant UAB „Klaipėdos rajono energija“ už Klaipėdos rajono savivaldybės objektų ir bendrojo naudojimo teritorijų paviršinių nuotekų tvarkymą.</t>
  </si>
  <si>
    <t>3.1.1.77</t>
  </si>
  <si>
    <t>Klaipėdos rajono teritorijos paviršinių nuotekų tinklų statyba</t>
  </si>
  <si>
    <t>3.1.1.79</t>
  </si>
  <si>
    <t>Mažinti aplinkos taršą, siekiant sukurti švarią ir saugią aplinką Klaipėdos rajone</t>
  </si>
  <si>
    <t>Gerinti vandens telkinių būklę bei tvarkyti juos supančią aplinką</t>
  </si>
  <si>
    <t>Priešgaisrinių tvenkinių valymas</t>
  </si>
  <si>
    <t>18</t>
  </si>
  <si>
    <t>05.03.01.01.</t>
  </si>
  <si>
    <t>3.2.1.9.</t>
  </si>
  <si>
    <t xml:space="preserve">Projekto „Pakrantės žvejybos turizmas – plėtra, skatinimas ir tvarus valdymas Baltijos jūros regione“ įgyvendinimas </t>
  </si>
  <si>
    <t>3.2.2.19</t>
  </si>
  <si>
    <t>Mažinti taršos poveikį aplinkai</t>
  </si>
  <si>
    <t>Aplinkos apsaugos specialiosios programos įgyvendinimas</t>
  </si>
  <si>
    <t>05.03.01.01</t>
  </si>
  <si>
    <t>3.1.1.2.</t>
  </si>
  <si>
    <t>AA</t>
  </si>
  <si>
    <t>LA</t>
  </si>
  <si>
    <t>Atliekų tvarkymo sistemos organizavimas</t>
  </si>
  <si>
    <t>18.1</t>
  </si>
  <si>
    <t>3.2.2.7.</t>
  </si>
  <si>
    <t>GŠV</t>
  </si>
  <si>
    <t>Projekto „Komunalinių atliekų rūšiuojamojo surinkimo infrastruktūros plėtra Klaipėdos rajone“ įgyvendinimas</t>
  </si>
  <si>
    <t>05.01.01.01.</t>
  </si>
  <si>
    <t>3.2.2.14.</t>
  </si>
  <si>
    <t>Asbesto turinčių gaminių atliekų surinkimas apvažiavimo būdu, transportavimas ir saugus šalinimas</t>
  </si>
  <si>
    <t>3.2.2.18</t>
  </si>
  <si>
    <t>Didelių gabaritų atliekų aikštelių įsigijimas Vėžaičiuose ir Gargžduose</t>
  </si>
  <si>
    <t>18,9</t>
  </si>
  <si>
    <t>3.2.2.24</t>
  </si>
  <si>
    <t>LGŠV</t>
  </si>
  <si>
    <t>Tekstilės atliekų surinkimo priemonių įsigijimas Klaipėdos rajone</t>
  </si>
  <si>
    <t>3.2.2.21</t>
  </si>
  <si>
    <t>Gyvūnų augintinių gausos reguliavimo programa</t>
  </si>
  <si>
    <t>3.2.2.2.</t>
  </si>
  <si>
    <t xml:space="preserve">Biologiškai skaidžių atliekų surinkimo priemonių įsigijimas </t>
  </si>
  <si>
    <t>3.2.2.25</t>
  </si>
  <si>
    <t>Tvarkyti seniūnijų gatves bei žaliuosius plotus</t>
  </si>
  <si>
    <t>Gatvių ir žaliųjų plotų tvarkymas ir priežiūra Agluonėnų seniūnijoje</t>
  </si>
  <si>
    <t>3.2.3.1.25</t>
  </si>
  <si>
    <t>Gatvių ir žaliųjų plotų tvarkymas ir priežiūra  Dauparų-Kvietinių seniūnijoje</t>
  </si>
  <si>
    <t>3.2.3.2.26.</t>
  </si>
  <si>
    <t>Gatvių ir žaliųjų plotų tvarkymas ir priežiūra Dovilų seniūnijoje</t>
  </si>
  <si>
    <t>3.2.3.3.27.</t>
  </si>
  <si>
    <t>Gatvių ir žaliųjų plotų tvarkymas ir priežiūra Endriejavo seniūnijoje</t>
  </si>
  <si>
    <t>3.2.3.4.28.</t>
  </si>
  <si>
    <t>Gatvių ir žaliųjų plotų tvarkymas ir priežiūra Gargždų seniūnijoje</t>
  </si>
  <si>
    <t>3.2.3.5.29.</t>
  </si>
  <si>
    <t>Gatvių ir žaliųjų plotų tvarkymas ir priežiūra Judrėnų seniūnijoje</t>
  </si>
  <si>
    <t>3.2.3.6.30.</t>
  </si>
  <si>
    <t>Gatvių ir žaliųjų plotų tvarkymas ir priežiūra Kretingalės seniūnijoje</t>
  </si>
  <si>
    <t>3.2.3.7.31.</t>
  </si>
  <si>
    <t>Gatvių ir žaliųjų plotų tvarkymas ir priežiūra Priekulės seniūnijoje</t>
  </si>
  <si>
    <t>3.2.3.8.32.</t>
  </si>
  <si>
    <t>Gatvių ir žaliųjų plotų tvarkymas ir priežiūra Sendvario seniūnijoje</t>
  </si>
  <si>
    <t>3.2.3.9.33.</t>
  </si>
  <si>
    <t>Gatvių ir žaliųjų plotų tvarkymas ir priežiūra Veiviržėnų seniūnijoje</t>
  </si>
  <si>
    <t>3.2.3.10.34.</t>
  </si>
  <si>
    <t>Gatvių ir žaliųjų plotų tvarkymas ir priežiūra Vėžaičių seniūnijoje</t>
  </si>
  <si>
    <t>3.2.3.11.35.</t>
  </si>
  <si>
    <t>VšĮ "Gargždų švara" gatvių ir žaliųjų plotų tvarkymo ir priežiūros technikos įsigijimas</t>
  </si>
  <si>
    <t>3.2.3.11.36.</t>
  </si>
  <si>
    <r>
      <t>Projekto „Klaipėdos rajono kraštovaizdžio gerinimas“ įgyvendinimas (</t>
    </r>
    <r>
      <rPr>
        <i/>
        <sz val="9"/>
        <rFont val="Arial"/>
        <family val="2"/>
        <charset val="186"/>
      </rPr>
      <t>Ketvergių karjero rekulivavimas, Klaipėdos rajono savivaldybės bendrojo plano korektūra ir Gargždų parko sutvarkymas</t>
    </r>
    <r>
      <rPr>
        <sz val="9"/>
        <rFont val="Arial"/>
        <family val="2"/>
        <charset val="186"/>
      </rPr>
      <t>)</t>
    </r>
  </si>
  <si>
    <t>3.2.3.13.</t>
  </si>
  <si>
    <t>Gargždų miesto parko infrastruktūros sutvarkymas</t>
  </si>
  <si>
    <t xml:space="preserve">3.2.2.23. </t>
  </si>
  <si>
    <t>LŽ</t>
  </si>
  <si>
    <r>
      <t xml:space="preserve">Savivaldybės pajamos iš surenkamų mokesčių </t>
    </r>
    <r>
      <rPr>
        <b/>
        <sz val="8"/>
        <rFont val="Arial"/>
        <family val="2"/>
      </rPr>
      <t>SB</t>
    </r>
  </si>
  <si>
    <r>
      <t xml:space="preserve">Aplinkos apsaugos rėmimo programa (Aplinkos apsaugos priemonės) </t>
    </r>
    <r>
      <rPr>
        <b/>
        <sz val="8"/>
        <rFont val="Arial"/>
        <family val="2"/>
      </rPr>
      <t>AA</t>
    </r>
  </si>
  <si>
    <r>
      <t xml:space="preserve">Aplinkos apsaugos rėmimo programa praėjusių metų likutis </t>
    </r>
    <r>
      <rPr>
        <b/>
        <sz val="8"/>
        <rFont val="Arial"/>
        <family val="2"/>
        <charset val="186"/>
      </rPr>
      <t>LA</t>
    </r>
  </si>
  <si>
    <r>
      <t xml:space="preserve">ES struktūrinių fondų lėšos </t>
    </r>
    <r>
      <rPr>
        <b/>
        <sz val="8"/>
        <rFont val="Arial"/>
        <family val="2"/>
      </rPr>
      <t>ES</t>
    </r>
  </si>
  <si>
    <r>
      <t xml:space="preserve">Lėšos už paslaugas ir nuomą </t>
    </r>
    <r>
      <rPr>
        <b/>
        <sz val="8"/>
        <rFont val="Arial"/>
        <family val="2"/>
      </rPr>
      <t>S</t>
    </r>
  </si>
  <si>
    <r>
      <t xml:space="preserve">Valstybės biudžeto skiriamos lėšos </t>
    </r>
    <r>
      <rPr>
        <b/>
        <sz val="8"/>
        <rFont val="Arial"/>
        <family val="2"/>
        <charset val="186"/>
      </rPr>
      <t>VBD</t>
    </r>
  </si>
  <si>
    <r>
      <t xml:space="preserve">VšĮ "Gargždų švara" vietinės rinkliavos </t>
    </r>
    <r>
      <rPr>
        <b/>
        <sz val="8"/>
        <rFont val="Arial"/>
        <family val="2"/>
        <charset val="186"/>
      </rPr>
      <t>GŠV</t>
    </r>
  </si>
  <si>
    <r>
      <t xml:space="preserve">VšĮ "Gargždų švara" praėjusių metų likutis </t>
    </r>
    <r>
      <rPr>
        <b/>
        <sz val="8"/>
        <rFont val="Arial"/>
        <family val="2"/>
        <charset val="186"/>
      </rPr>
      <t>LGŠV</t>
    </r>
  </si>
  <si>
    <r>
      <t xml:space="preserve">Skolintos lėšos </t>
    </r>
    <r>
      <rPr>
        <b/>
        <sz val="8"/>
        <rFont val="Arial"/>
        <family val="2"/>
        <charset val="186"/>
      </rPr>
      <t xml:space="preserve">SL </t>
    </r>
  </si>
  <si>
    <r>
      <t xml:space="preserve">Europos Sąjungos struktūrinių fondų lėšos, tenkančios projektų partneriams </t>
    </r>
    <r>
      <rPr>
        <b/>
        <sz val="8"/>
        <rFont val="Arial"/>
        <family val="2"/>
        <charset val="186"/>
      </rPr>
      <t>ES (Kt)</t>
    </r>
  </si>
  <si>
    <r>
      <t xml:space="preserve">Pajamų už parduotą žemę praėjusių metų likutis </t>
    </r>
    <r>
      <rPr>
        <b/>
        <sz val="8"/>
        <rFont val="Arial"/>
        <family val="2"/>
        <charset val="186"/>
      </rPr>
      <t>LŽ</t>
    </r>
  </si>
  <si>
    <r>
      <t>Kitos lėšos</t>
    </r>
    <r>
      <rPr>
        <b/>
        <sz val="8"/>
        <rFont val="Arial"/>
        <family val="2"/>
        <charset val="186"/>
      </rPr>
      <t xml:space="preserve"> Kt</t>
    </r>
  </si>
  <si>
    <t> </t>
  </si>
  <si>
    <t>2022-2024 METŲ SVEIKATOS APSAUGOS PROGRAMOS TIKSLŲ, UŽDAVINIŲ IR PRIEMONIŲ ASIGNAVIMŲ SUVESTINĖ</t>
  </si>
  <si>
    <t>2021 m.</t>
  </si>
  <si>
    <t>2 strateginis tikslas. Kelti rajono gyventojų gyvenimo kokybę kuriant bei palaikant saugią ir švarią aplinką</t>
  </si>
  <si>
    <t>4 Sveikatos apsaugos programa</t>
  </si>
  <si>
    <t>Didinti sveikatos priežiūros paslaugų prieinamumą ir sumažinti sveikatos netolygumus</t>
  </si>
  <si>
    <t>Sumažinti gyventojų sergamumą užkrečiamosiomis ligomis</t>
  </si>
  <si>
    <t>Palankios vakcinomis valdomų užkrečiamųjų ligų epideminės situacijos Klaipėdos rajone užtikrinimas</t>
  </si>
  <si>
    <t>7.10</t>
  </si>
  <si>
    <t>07.02.01.01</t>
  </si>
  <si>
    <t>4.2.1.3.</t>
  </si>
  <si>
    <t xml:space="preserve">Iš viso priemonei: </t>
  </si>
  <si>
    <t>Dotacija patirtoms išlaidoms, už skiepijimo nuo COVID-19 ligos (koronaviruso infekcijos) paslaugas, kompensuoti</t>
  </si>
  <si>
    <t>4.1.1.10</t>
  </si>
  <si>
    <t>Dotacija patirtoms išlaidoms, susijusioms su darbuotojų darbo užmokesčio didinimu, kompensuoti</t>
  </si>
  <si>
    <t>7.13</t>
  </si>
  <si>
    <t>4.1.5.4</t>
  </si>
  <si>
    <t>Dotacija patirtoms išlaidoms už atliktus COVID-19 ligos ėminius mobiliajame punkte</t>
  </si>
  <si>
    <t>07.04.01.02</t>
  </si>
  <si>
    <t>4.1.1.11</t>
  </si>
  <si>
    <t>Gyventojų skatinimas skiepytis nuo COVID-19 ligos</t>
  </si>
  <si>
    <t>Dotacija sveikatos priežiūros įstaigoms patirtoms išlaidoms valdant COVID-19 ligos (koronaviruso infekcija) pandemiją kompensuoti</t>
  </si>
  <si>
    <t>Sumažinti gyventojų sveikatos netolygumus, susijusius su gyventojų elgsena</t>
  </si>
  <si>
    <t xml:space="preserve">Plėtoti sveiką gyvenseną bei stiprinti sveikos gyvensenos įgūdžius ugdymo įstaigose ir bendruomenėse, vykdyti visuomenės sveikatos stebėseną savivaldybėje </t>
  </si>
  <si>
    <t>4.1.4.1.</t>
  </si>
  <si>
    <t>Jaunimo atsakomybės už savo sveikatą skatinimas, mažinant rizikos veiksnių paplitimą tarp jaunimo</t>
  </si>
  <si>
    <t>4.1.1.1.</t>
  </si>
  <si>
    <t>Jaunimui palankių sveikatos priežiūros paslaugų užtikrinimas</t>
  </si>
  <si>
    <t>4.1.1.7</t>
  </si>
  <si>
    <t>EEEVB</t>
  </si>
  <si>
    <t>EEE</t>
  </si>
  <si>
    <t>Visuomenės sveikatos priežiūros paslaugų prieinamumo ir jų kokybės užtikrinimas</t>
  </si>
  <si>
    <t>4.1.5.2.</t>
  </si>
  <si>
    <t>PL</t>
  </si>
  <si>
    <t>Visuomenės psichikos sveikatos paslaugų prieinamumo bei ankstyvojo savižudybių atpažinimo ir kompleksinės pagalbos teikimo sistemos plėtojimas</t>
  </si>
  <si>
    <t>4.1.2.10.</t>
  </si>
  <si>
    <t>Mokyklų bendruomenės narių socialinių emocinių kompetencijų stiprinimas</t>
  </si>
  <si>
    <t>4.1.1.8.</t>
  </si>
  <si>
    <t>Gyventojų fizinio aktyvumo įpročių ugdymas</t>
  </si>
  <si>
    <t>4.1.1.9.</t>
  </si>
  <si>
    <t>Sveikos gyvensenos kultūros gyventojams formavimas</t>
  </si>
  <si>
    <t>07.04.01.02.</t>
  </si>
  <si>
    <t>4.1.1.2.</t>
  </si>
  <si>
    <t>Projekto "Sveikos gyvensenos skatinimas Klaipėdos rajone" įgyvendinimas</t>
  </si>
  <si>
    <t>4.1.1.5</t>
  </si>
  <si>
    <t>Šeimų lankymo teikiant ankstyvosios intervencijos paslaugas modelio įdiegimas Klaipėdos r. savivaldybėje</t>
  </si>
  <si>
    <t>4.1.1.12.</t>
  </si>
  <si>
    <t>Projekto „Įtraukusis sveikatos mokymas sveikatą stiprinančioje aplinkoje“ įgyvendimas</t>
  </si>
  <si>
    <t>4.1.1.4</t>
  </si>
  <si>
    <t>Plėtoti sveikatos infrastruktūrą ir gerinti sveikatos priežiūros paslaugų kokybę bei prieinamumą</t>
  </si>
  <si>
    <t>Gargždų ligoninės Vaikų raidos sutrikimų ankstyvosios reabilitacijos tarnybos 3 etatų išlaikymo finansavimas</t>
  </si>
  <si>
    <t>7.9</t>
  </si>
  <si>
    <t>07.02.01.01.</t>
  </si>
  <si>
    <t>4.2.1.4.</t>
  </si>
  <si>
    <t>Gargždų ligoninės liftų atnaujinimo dalinis finansavimas</t>
  </si>
  <si>
    <t>07.03.01.01</t>
  </si>
  <si>
    <t>4.2.1.25</t>
  </si>
  <si>
    <t>Gargždų ligoninės pastato šiltinimo dalinis finansavimas</t>
  </si>
  <si>
    <t>07.03.01.01.</t>
  </si>
  <si>
    <t>4.2.1.21.</t>
  </si>
  <si>
    <t>Saulės baterijų elektros energijos gamybai įrengimas ant Gargždų miesto ligoninės stogo</t>
  </si>
  <si>
    <t>4.2.1.22.</t>
  </si>
  <si>
    <t>7.12</t>
  </si>
  <si>
    <t>4.2.1.12.</t>
  </si>
  <si>
    <t>Paupių PSPC  Plikių slaugos skyriaus pastato išorės apšiltinimas</t>
  </si>
  <si>
    <t>07.03.04.01.</t>
  </si>
  <si>
    <t>4.2.1.13.</t>
  </si>
  <si>
    <t>Paupių PSPC Kretingalės ambulatorijos lauko aplinkos neįgaliesiems pritaikymo dalinis finansavimas</t>
  </si>
  <si>
    <t>4.2.1.18</t>
  </si>
  <si>
    <r>
      <t xml:space="preserve">Valstybės biudžeto dotacijos deleguotoms funkcijoms </t>
    </r>
    <r>
      <rPr>
        <b/>
        <sz val="8"/>
        <rFont val="Arial"/>
        <family val="2"/>
        <charset val="186"/>
      </rPr>
      <t>VBD</t>
    </r>
  </si>
  <si>
    <r>
      <t xml:space="preserve">Aplinkos apsaugos rėmimo programa (Visuomenės sveikatos rėmimas) </t>
    </r>
    <r>
      <rPr>
        <b/>
        <sz val="8"/>
        <rFont val="Arial"/>
        <family val="2"/>
        <charset val="186"/>
      </rPr>
      <t>AA</t>
    </r>
  </si>
  <si>
    <r>
      <t xml:space="preserve">Iš kitų savivaldybių gaunamos lėšos </t>
    </r>
    <r>
      <rPr>
        <b/>
        <sz val="8"/>
        <rFont val="Arial"/>
        <family val="2"/>
        <charset val="186"/>
      </rPr>
      <t>PL</t>
    </r>
  </si>
  <si>
    <r>
      <t xml:space="preserve">Valstybės biudžeto lėšos ES struktūrinių fondų projektams </t>
    </r>
    <r>
      <rPr>
        <b/>
        <sz val="8"/>
        <rFont val="Arial"/>
        <family val="2"/>
        <charset val="186"/>
      </rPr>
      <t>VBES</t>
    </r>
  </si>
  <si>
    <r>
      <t xml:space="preserve">Europos ekonominės erdvės finansinio mechanizmo lėšos </t>
    </r>
    <r>
      <rPr>
        <b/>
        <sz val="8"/>
        <rFont val="Arial"/>
        <family val="2"/>
        <charset val="186"/>
      </rPr>
      <t>EEE</t>
    </r>
  </si>
  <si>
    <r>
      <t xml:space="preserve">ES struktūrinių fondų lėšos, tenkančios projektų partneriams </t>
    </r>
    <r>
      <rPr>
        <b/>
        <sz val="8"/>
        <rFont val="Arial"/>
        <family val="2"/>
        <charset val="186"/>
      </rPr>
      <t>ES (Kt)</t>
    </r>
  </si>
  <si>
    <r>
      <t xml:space="preserve">Gautos lėšos pandemijos pasekmėms šalinti </t>
    </r>
    <r>
      <rPr>
        <b/>
        <sz val="8"/>
        <rFont val="Arial"/>
        <family val="2"/>
        <charset val="186"/>
      </rPr>
      <t>VBD (covid)</t>
    </r>
  </si>
  <si>
    <r>
      <t xml:space="preserve">Lietuvos Respublikos valstybės biudžeto dalis prie EEE lėšų </t>
    </r>
    <r>
      <rPr>
        <b/>
        <sz val="8"/>
        <rFont val="Arial"/>
        <family val="2"/>
        <charset val="186"/>
      </rPr>
      <t>EEEVB</t>
    </r>
  </si>
  <si>
    <t xml:space="preserve"> 2022-2024 METŲ SOCIALINĖS APSAUGOS IR NVO POLITIKOS PROGRAMOS TIKSLŲ, UŽDAVINIŲ IR PRIEMONIŲ ASIGNAVIMŲ SUVESTINĖ</t>
  </si>
  <si>
    <t>5 Socialinės apsaugos ir NVO politikos programa</t>
  </si>
  <si>
    <t>Mažinti socialinę atskirtį Klaipėdos rajone</t>
  </si>
  <si>
    <t>Teikti valstybės ir savivaldybės piniginę socialinę paramą savivaldybės gyventojams</t>
  </si>
  <si>
    <t>Išmokų vaikams skyrimas ir mokėjimas</t>
  </si>
  <si>
    <t>10.04.01.40</t>
  </si>
  <si>
    <t>5.1.1.1.</t>
  </si>
  <si>
    <t>VBM</t>
  </si>
  <si>
    <t>VBM (covid)</t>
  </si>
  <si>
    <t>Finansinės pagalbos teikimas ir išlaidų kompensavimas laidojusiems žmonių palaikus</t>
  </si>
  <si>
    <t>10.09.01.01</t>
  </si>
  <si>
    <t>5.1.1.3.</t>
  </si>
  <si>
    <t>Tikslinių kompensacijų (slaugos ir priežiūros (pagalbos)) skaičiavimas ir mokėjimas</t>
  </si>
  <si>
    <t>10.01.02.04</t>
  </si>
  <si>
    <t>5.1.1.4.</t>
  </si>
  <si>
    <t>Iš viso  priemonei:</t>
  </si>
  <si>
    <t>Socialinių pašalpų ir kompensacijų skaičiavimas ir mokėjimas</t>
  </si>
  <si>
    <t>10.07.01.01</t>
  </si>
  <si>
    <t>5.1.1.5.</t>
  </si>
  <si>
    <t>VB</t>
  </si>
  <si>
    <t>Kompensacija vežėjams už nesurinktas pajamas vežant priemestiniais maršrutais</t>
  </si>
  <si>
    <t>10.02.01.40</t>
  </si>
  <si>
    <t>5.1.2.7</t>
  </si>
  <si>
    <t>Socialinė parama mokiniams (maitinimui, priemonėms)</t>
  </si>
  <si>
    <t>5.1.2.9</t>
  </si>
  <si>
    <t>Teikti kitą paramą socialiai pažeidžiamiems asmenims</t>
  </si>
  <si>
    <t>Europos pagalbos labiausiai skurstantiems asmenims fondo projekto Klaipėdos rajone vykdymas</t>
  </si>
  <si>
    <t>10.07.01.02</t>
  </si>
  <si>
    <t>5.1.2.13.</t>
  </si>
  <si>
    <t>Būsto pritaikymas neįgaliesiems</t>
  </si>
  <si>
    <t>5.1.2.5.</t>
  </si>
  <si>
    <t>Neveiksnių asmenų būklės peržiūrėjimo užtikrinimas</t>
  </si>
  <si>
    <t>5.1.2.19.</t>
  </si>
  <si>
    <t>Plėtoti socialinių paslaugų teikimą didinant visų gyventojų grupių integraciją</t>
  </si>
  <si>
    <t>Užtikrinti kokybišką socialinių paslaugų teikimą savivaldybės įstaigose</t>
  </si>
  <si>
    <t>Dienos globos paslaugų bei specialaus transporto paslaugos teikimas Gargždų socialinių paslaugų centre</t>
  </si>
  <si>
    <t>7.15</t>
  </si>
  <si>
    <t>5.1.2.1.</t>
  </si>
  <si>
    <t>VB(P)</t>
  </si>
  <si>
    <t>Dienos globos paslaugų bei specialaus transporto  paslaugų teikimas Priekulės socialinių paslaugų centre</t>
  </si>
  <si>
    <t>7.16</t>
  </si>
  <si>
    <t>5.1.2.2.</t>
  </si>
  <si>
    <t>Paslaugų  klientų namuose teikimas, neįgaliųjų aprūpinimas techninės pagalbos priemonėmis Paramos šeimai centre</t>
  </si>
  <si>
    <t>7.14</t>
  </si>
  <si>
    <t>5.1.2.3.</t>
  </si>
  <si>
    <t>10.01.02.40</t>
  </si>
  <si>
    <t>Stacionarių socialinės globos paslaugų teikimas Viliaus Gaigalaičio globos namuose</t>
  </si>
  <si>
    <t>7.17</t>
  </si>
  <si>
    <t>10.02.01.02</t>
  </si>
  <si>
    <t>5.1.2.11.</t>
  </si>
  <si>
    <t>Socialinės globos paslaugų teikimas Lapių pagrindinės mokyklos globos padalinio bendruomeniniuose vaikų globos namuose ir savarankiško gyvenimo namuose</t>
  </si>
  <si>
    <t>5.1.2.17.</t>
  </si>
  <si>
    <t>Paslaugų teikimas Gargždų socialinių paslaugų centro padalinyje (nakvynės namuose)</t>
  </si>
  <si>
    <t>5.1.2.16.</t>
  </si>
  <si>
    <t>Paslaugų teikimas Gargždų socialinių paslaugų centro padalinyje (Globos centre)</t>
  </si>
  <si>
    <t>5.1.2.23</t>
  </si>
  <si>
    <t>Socialinių paslaugų įstaigų elektros ir kuro išlaidų finansavimas</t>
  </si>
  <si>
    <t>5.1.2.27.</t>
  </si>
  <si>
    <t>Socialinių įstaigų patalpų remontas, transporto remontas, buitinės, organizacinės technikos, kitų priemonių įsigijimas</t>
  </si>
  <si>
    <t>5.1.2.28.</t>
  </si>
  <si>
    <t>7.14.</t>
  </si>
  <si>
    <t>Gerinti socialinių paslaugų prieinamumą skatinant kitų socialinių paslaugų teikėjų veiklas</t>
  </si>
  <si>
    <t>Paslaugų teikimo Endriejavo dienos centre dalinis finansavimas</t>
  </si>
  <si>
    <t>5.1.2.18.</t>
  </si>
  <si>
    <t xml:space="preserve">Socialinių paslaugų pirkimas, pagalbos pinigų mokėjimas, socialinių paslaugų perdavimas NVO, transporto paslaugos hemodializėms atlikti apmokėjimas </t>
  </si>
  <si>
    <t>5.1.2.4.</t>
  </si>
  <si>
    <t>Socialinės reabilitacijos paslaugų neįgaliesiems bendruomenėje projektų finansavimas</t>
  </si>
  <si>
    <t>5.1.2.15.</t>
  </si>
  <si>
    <t>Projekto "Kompleksinės paslaugos šeimoms Klaipėdos rajone" įgyvendinimas</t>
  </si>
  <si>
    <t>5.1.2.21</t>
  </si>
  <si>
    <t>Sutrikusio intelekto žmonių globos bendrijos "Gargždų viltis" teikiamų transporto paslaugų neįgaliesiems finansavimas</t>
  </si>
  <si>
    <t>5.1.2.25</t>
  </si>
  <si>
    <t>Mirusiųjų pervežimas iš įvykio vietos ir saugojimas iki teismo medicinos tyrimo atlikimo</t>
  </si>
  <si>
    <t>5.1.2.8</t>
  </si>
  <si>
    <t>Dotacija akredituotai vaikų dienos socialinei priežiūrai organizuoti, teikti ir administruoti</t>
  </si>
  <si>
    <t>5.1.2.30</t>
  </si>
  <si>
    <t>10.04.01.01</t>
  </si>
  <si>
    <t>Asmeninės pagalbos neįgaliems asmenims organizavimas</t>
  </si>
  <si>
    <t>10.01.02.40.</t>
  </si>
  <si>
    <t>5.1.2.29</t>
  </si>
  <si>
    <t>Plėtoti ir modernizuoti socialinių paslaugų infrastruktūrą</t>
  </si>
  <si>
    <t>Socialinio būsto rėmimo programos įgyvendinimas</t>
  </si>
  <si>
    <t>10.06.01.01</t>
  </si>
  <si>
    <t>5.1.3.3.</t>
  </si>
  <si>
    <t>LS</t>
  </si>
  <si>
    <t>Projekto „Priekulės socialinių paslaugų centro infrastruktūros plėtra“ įgyvendinimas</t>
  </si>
  <si>
    <t>7</t>
  </si>
  <si>
    <t>5.1.3.11.</t>
  </si>
  <si>
    <t>Projekto "Vaikų dienos centrų tinklo plėtra Klaipėdos rajono savivaldybėje" įgyvendinimas</t>
  </si>
  <si>
    <t>5.1.3.12</t>
  </si>
  <si>
    <t>Saulės baterijų elektros energijos gamybai įrengimas ant V. Gaigalaičio globos namų stogo</t>
  </si>
  <si>
    <t>5.1.3.13.</t>
  </si>
  <si>
    <t>Iš viso  tikslui:</t>
  </si>
  <si>
    <t>Didinti Klaipėdos rajono gyventojų užimtumą ir ekonominį aktyvumą</t>
  </si>
  <si>
    <t>Organizuoti užimtumo didinimo programos įgyvendinimą Klaipėdos rajone</t>
  </si>
  <si>
    <t>Užimtumo didinimo programos vykdymas</t>
  </si>
  <si>
    <t>10.05.01.01</t>
  </si>
  <si>
    <t>5.2.1.2.</t>
  </si>
  <si>
    <t>Įgyvendinti Klaipėdos rajono savivaldybės jaunimo politikos plėtros 2020-2022 metų programą</t>
  </si>
  <si>
    <t>Jaunimo įgalinimo ir įtraukimo į pilietinę veiklą galimybių kūrimas ir plėtra</t>
  </si>
  <si>
    <t>16</t>
  </si>
  <si>
    <t>5.1.4.2.</t>
  </si>
  <si>
    <t>16.1</t>
  </si>
  <si>
    <t>5.1.4.3.</t>
  </si>
  <si>
    <t>Gargždų atviro jaunimo centro veiklos užtikrinimas</t>
  </si>
  <si>
    <t>5.1.4.1.</t>
  </si>
  <si>
    <t>Iš viso uždaviniui</t>
  </si>
  <si>
    <t>Bendradarbiauti su vietos bendruomene, siekiant efektyviau tenkinti viešąjį interesą</t>
  </si>
  <si>
    <t>Skatinti nevyriausybinių organizacijų veiklą</t>
  </si>
  <si>
    <t>Klaipėdos r. savivaldybės ir nevyriausybinių organizacijų bendradarbiavimas</t>
  </si>
  <si>
    <t>08.04.01.01</t>
  </si>
  <si>
    <t>9.4.3.1</t>
  </si>
  <si>
    <t>Klaipėdos r. gyvenamųjų vietovių bendruomenių rėmimo programos įgyvendinimas</t>
  </si>
  <si>
    <t>9.4.3.2</t>
  </si>
  <si>
    <t>Klaipėdos r. bendruomenių vykdomų projektų dalinis finansavimas</t>
  </si>
  <si>
    <t>9.4.3.3.</t>
  </si>
  <si>
    <t>Klaipėdos r. tradicinių religinių bendruomenių ir bendrijų rėmimo programos įgyvendinimas</t>
  </si>
  <si>
    <t>9.4.3.4.</t>
  </si>
  <si>
    <t>Gargždų Šv. Arkangelo Mykolo bažnyčios varpų įsigijimo dalinis finansavimas</t>
  </si>
  <si>
    <t>08.04.01.02</t>
  </si>
  <si>
    <r>
      <t xml:space="preserve">Valstybės biudžeto dotacijos socialinei paramai </t>
    </r>
    <r>
      <rPr>
        <b/>
        <sz val="8"/>
        <rFont val="Arial"/>
        <family val="2"/>
        <charset val="186"/>
      </rPr>
      <t>VBM</t>
    </r>
  </si>
  <si>
    <r>
      <t xml:space="preserve">Valstybės biudžeto lėšos deleguotoms funkcijoms atlikti </t>
    </r>
    <r>
      <rPr>
        <b/>
        <sz val="8"/>
        <rFont val="Arial"/>
        <family val="2"/>
        <charset val="186"/>
      </rPr>
      <t>VBD</t>
    </r>
  </si>
  <si>
    <r>
      <t xml:space="preserve">Lėšos už paslaugas ir nuomą praėjusių metų likučiai </t>
    </r>
    <r>
      <rPr>
        <b/>
        <sz val="8"/>
        <rFont val="Arial"/>
        <family val="2"/>
        <charset val="186"/>
      </rPr>
      <t>LS</t>
    </r>
  </si>
  <si>
    <r>
      <t xml:space="preserve">Valstybės dotacija šildymo kompensacijoms </t>
    </r>
    <r>
      <rPr>
        <b/>
        <sz val="8"/>
        <rFont val="Arial"/>
        <family val="2"/>
        <charset val="186"/>
      </rPr>
      <t>VB</t>
    </r>
  </si>
  <si>
    <r>
      <t xml:space="preserve">Gaunamos lėšos pandemijos pasekmėms šalinti </t>
    </r>
    <r>
      <rPr>
        <b/>
        <sz val="8"/>
        <rFont val="Arial"/>
        <family val="2"/>
        <charset val="186"/>
      </rPr>
      <t>VBM (covid)</t>
    </r>
  </si>
  <si>
    <r>
      <t xml:space="preserve">Gaunamos lėšos pandemijos pasekmėms šalinti </t>
    </r>
    <r>
      <rPr>
        <b/>
        <sz val="8"/>
        <rFont val="Arial"/>
        <family val="2"/>
        <charset val="186"/>
      </rPr>
      <t>VBD (covid)</t>
    </r>
  </si>
  <si>
    <t>2022-2024 METŲ SUSISIEKIMO IR INŽINERINĖS INFRASTRUKTŪROS PLĖTROS PROGRAMOS TIKSLŲ, UŽDAVINIŲ IR PRIEMONIŲ ASIGNAVIMŲ SUVESTINĖ</t>
  </si>
  <si>
    <t>6 Susisiekimo ir inžinerinės infrastruktūros plėtros programa</t>
  </si>
  <si>
    <t xml:space="preserve">Prižiūrėti ir modernizuoti susisiekimo viešąją infrastruktūrą  Klaipėdos rajone </t>
  </si>
  <si>
    <t>Prižiūrėti gyvenviečių gatves ir kelius Klaipėdos rajono seniūnijose bei vykdyti jų einamąjį remontą</t>
  </si>
  <si>
    <t>Agluonėnų seniūnijos kelių, gatvių priežiūra ir remontas</t>
  </si>
  <si>
    <t>6.1.1.1.25.</t>
  </si>
  <si>
    <t>VLK</t>
  </si>
  <si>
    <t>Dauparų-Kvietinių seniūnijos kelių, gatvių priežiūra ir remontas</t>
  </si>
  <si>
    <t>6.1.1.1.26.</t>
  </si>
  <si>
    <t>Dovilų seniūnijos kelių, gatvių priežiūra ir remontas</t>
  </si>
  <si>
    <t>6.1.1.1.27.</t>
  </si>
  <si>
    <t>Endriejavo seniūnijos kelių, gatvių priežiūra ir remontas</t>
  </si>
  <si>
    <t>6.1.1.1.28.</t>
  </si>
  <si>
    <t>Gargždų  seniūnijos kelių, gatvių priežiūra ir remontas</t>
  </si>
  <si>
    <t>6.1.1.1.29.</t>
  </si>
  <si>
    <t>Judrėnų  seniūnijos kelių, gatvių priežiūra ir remontas</t>
  </si>
  <si>
    <t>6.1.1.1.30.</t>
  </si>
  <si>
    <t>Kretingalės  seniūnijos kelių, gatvių priežiūra ir remontas</t>
  </si>
  <si>
    <t>6.1.1.1.31.</t>
  </si>
  <si>
    <t>Priekulės seniūnijos kelių, gatvių priežiūra ir remontas</t>
  </si>
  <si>
    <t>6.1.1.1.32.</t>
  </si>
  <si>
    <t>Sendvario seniūnijos kelių, gatvių priežiūra ir remontas</t>
  </si>
  <si>
    <t>6.1.1.1.33.</t>
  </si>
  <si>
    <t>Veiviržėnų seniūnijos kelių, gatvių priežiūra ir remontas</t>
  </si>
  <si>
    <t>6.1.1.1.34.</t>
  </si>
  <si>
    <t>Vėžaičių seniūnijos kelių, gatvių priežiūra ir remontas</t>
  </si>
  <si>
    <t>6.1.1.1.35.</t>
  </si>
  <si>
    <t>Rezervas skiriamas apmokėti už nenumatytus darbus, atsirandančius sutartyse numatytų darbų vykdymo metu</t>
  </si>
  <si>
    <t>6.1.1.1.</t>
  </si>
  <si>
    <t>Dulkėtumo mažinimas Klaipėdos rajono keliuose ir gatvėse</t>
  </si>
  <si>
    <t>6.1.3.30</t>
  </si>
  <si>
    <t>Iš viso SB lėšos</t>
  </si>
  <si>
    <t>Iš viso VLK lėšos</t>
  </si>
  <si>
    <t>1</t>
  </si>
  <si>
    <t>Užtikrinti kokybišką darbų atlikimą modernizuojant susisiekimo viešąją infrastruktūrą</t>
  </si>
  <si>
    <t>Kelių priežiūros inžinerinės paslaugos</t>
  </si>
  <si>
    <t>6.1.2.25.</t>
  </si>
  <si>
    <t>KPPP</t>
  </si>
  <si>
    <t>Vietinės reikšmės kelių ir gatvių inventorizavimas ir įteisinimas</t>
  </si>
  <si>
    <t>6.1.1.30.</t>
  </si>
  <si>
    <t>Iš viso KPPP lėšos</t>
  </si>
  <si>
    <t>Modernizuoti Klaipėdos rajono savivaldybės gyvenviečių gatves</t>
  </si>
  <si>
    <t>Sendvario sen. Jakų k. Pašto gatvės Nr. KL8755 techninio-darbo projekto parengimas ir įgyvendinimas</t>
  </si>
  <si>
    <t>6.1.2.22.</t>
  </si>
  <si>
    <t>Suprojektuotų Gargždų miesto gyvenamųjų kvartalų (atlyginant piliečiams už nuosavybę turėtą žemės ir kitą turtą Gargždų mieste) rangos darbai</t>
  </si>
  <si>
    <t>04.09.01.03</t>
  </si>
  <si>
    <t>6.1.1.3.</t>
  </si>
  <si>
    <t>Gargždų miesto 176 gyvenamųjų namų kvartalo elektros sistemos sutvarkymas ir privažiavimo kelių įrengimas</t>
  </si>
  <si>
    <t>6.1.1.34.</t>
  </si>
  <si>
    <t>Sendvario seniūnijos inžinerinės infrastruktūros remontas ir įrengimas</t>
  </si>
  <si>
    <t>6.1.1.40.</t>
  </si>
  <si>
    <t>Gargždų miesto kiemų,  skersgatvių, kelio dangų, pėsčiųjų takų, apšvietimo remontas ir įrengimas</t>
  </si>
  <si>
    <t>6.1.1.42.</t>
  </si>
  <si>
    <t>Ž</t>
  </si>
  <si>
    <t xml:space="preserve">Savivaldybės prisidėjimas prie fizinių ar juridinių asmenų, pageidaujančių skirti tikslinių lėšų Klaipėdos rajono vietinės reikšmės kelių juostoje esantiems kelių statiniams ir daugiabučių kiemams projektuoti, rekonstruoti, taisyti </t>
  </si>
  <si>
    <t>6.1.3.8.</t>
  </si>
  <si>
    <t xml:space="preserve">Sendvario sen. Jakų k. Mėtų gatvės techninio projekto parengimas ir rangos darbai </t>
  </si>
  <si>
    <t>6.1.3.9.</t>
  </si>
  <si>
    <t>Teritorijos sutvarkymo ir mažosios architektūros elementų tarp Klaipėdos, J. Janonio, Žemaitės, Kvietinių g. Gargždų m. techninio projekto parengimas ir įgyvendinimas</t>
  </si>
  <si>
    <t>6.1.2.21.</t>
  </si>
  <si>
    <t>Projekto „Priekulės miesto atvirų viešųjų erdvių tvarkymas“ įgyvendinimas</t>
  </si>
  <si>
    <t>6.3.3.22.</t>
  </si>
  <si>
    <t>Projekto "Drevernos viešųjų erdvių pritaikymas žvejų bendruomenės ir turistų poreikiams" įgyvendinimas</t>
  </si>
  <si>
    <t>6.2.1.30.</t>
  </si>
  <si>
    <t>Projekto „Vėžaičių dvaro parko teritorijos pritaikymas viešiesiems poreikiams“ įgyvendinimas</t>
  </si>
  <si>
    <t>6.1.3.20.</t>
  </si>
  <si>
    <t xml:space="preserve">Tilto Veiviržėnų sen. Pašlūžmio k. per Šlūžmės upę techninio projekto rengimas ir statyba </t>
  </si>
  <si>
    <t>6.1.3.21.</t>
  </si>
  <si>
    <t>Elektros stulpų ir priešgaisrinio hidranto, esančių Gėlynų g., Jonušų k. Dauparuose, kelio zonoje, pašalinimas ir kelio remontas</t>
  </si>
  <si>
    <t>6.1.3.22.</t>
  </si>
  <si>
    <t>Gargždų miesto Pušų g.  įrengimas</t>
  </si>
  <si>
    <t>6.1.3.27</t>
  </si>
  <si>
    <t>Sendvario sen. Trušelių k. Danės  gatvės Nr. KL1412 techninio-darbo projekto parengimas ir rangos darbai</t>
  </si>
  <si>
    <t>6.1.4.7.</t>
  </si>
  <si>
    <t>Susisiekimo infrastruktūros atnaujinimas seniūnijose</t>
  </si>
  <si>
    <t>6.1.3.31.</t>
  </si>
  <si>
    <t>Iš viso Kt lėšos</t>
  </si>
  <si>
    <t>Iš viso ES/VBES lėšos</t>
  </si>
  <si>
    <t>Iš viso Ž lėšos</t>
  </si>
  <si>
    <t>Iš viso LŽ lėšos</t>
  </si>
  <si>
    <t>Iš viso LK lėšos</t>
  </si>
  <si>
    <t>3</t>
  </si>
  <si>
    <t>Modernizuoti Klaipėdos rajono savivaldybės kelius</t>
  </si>
  <si>
    <t>Privažiuojamojo kelio KL1432 (Lenkviečių g.) prie Aukštkiemių projektavimas ir rangos darbai</t>
  </si>
  <si>
    <t>6.1.4.6.</t>
  </si>
  <si>
    <t>Dovilų sen. kelio Kiškėnai-Lėbartai-Ketvergiai (Hugo Šojaus g.) KL0402 rekonstrukcija</t>
  </si>
  <si>
    <t>6.1.4.5.</t>
  </si>
  <si>
    <t>Klaipėdos rajono ilgalaikio susisiekimo infrastruktūros objektų vystymo plane iki 2025 metų numatytų vietinės reikšmės kelių projektų parengimas ir įgyvendinimas</t>
  </si>
  <si>
    <t>6.1.4.11.</t>
  </si>
  <si>
    <t>Prisidėjimas prie Kelių direkcijos pirmumo teise įgyvendinamų projektų rajone ir techninių projektų parengimas</t>
  </si>
  <si>
    <t>6.1.4.15.</t>
  </si>
  <si>
    <t>Kretingalės sen. Plikių mst. Grauminės g.,  KL1019 projekto parengimas ir rangos darbai</t>
  </si>
  <si>
    <t>6.1.4.13.</t>
  </si>
  <si>
    <t xml:space="preserve">Elektromobilių įkrovimo prieigų įrengimas </t>
  </si>
  <si>
    <t>Vietinės reikšmės kelių su žvyro danga asfaltavimas</t>
  </si>
  <si>
    <t>6.1.3.28.</t>
  </si>
  <si>
    <t xml:space="preserve">Priekulės seniūnijos infrastruktūros plėtra ir remontas </t>
  </si>
  <si>
    <t>6.1.4.16.</t>
  </si>
  <si>
    <t>Tiltų remontas ir priežiūra</t>
  </si>
  <si>
    <t>4</t>
  </si>
  <si>
    <t>Modernizuoti Klaipėdos rajono savivaldybės atskirus pėsčiųjų ir dviračių takus</t>
  </si>
  <si>
    <t>Šaligatvių įrengimas Vasario 16-osios g. Gargžduose (nuo Kęstučio g. iki Užuovėjos g.)</t>
  </si>
  <si>
    <t>6.1.1.57.</t>
  </si>
  <si>
    <t>Gargždų m. Kvietinių g. atkarpos nuo Klaipėdos g. iki Parko g. ir besiribojančių aikščių, skverų, dviračių takų, šaligatvių rekonstravimas</t>
  </si>
  <si>
    <t>6.1.5.5.</t>
  </si>
  <si>
    <t>Projekto „Pėsčiųjų ir dviračių takų įrengimas Pušų gatvėje, Kvietinių gatvėje ir palei Kretingos plentą Gargždų mieste" įgyvendinimas</t>
  </si>
  <si>
    <t>6.1.5.6.</t>
  </si>
  <si>
    <t>Įgyvendinti atskiras eismo saugumo priemones</t>
  </si>
  <si>
    <t>Saugaus eismo priemonių užtikrinimas (pagal Saugaus eismo komisijos sprendimus)</t>
  </si>
  <si>
    <t>6.1.1.9.</t>
  </si>
  <si>
    <t>Gargždų miesto šviesoforų techninė priežiūra</t>
  </si>
  <si>
    <t>6.1.1.37.</t>
  </si>
  <si>
    <t>Automobilių stovėjimo rinkliavos rinkimo ir administravimo paslaugos vykdymas</t>
  </si>
  <si>
    <t>6.1.1.38.</t>
  </si>
  <si>
    <t>Prižiūrėti ir modernizuoti vidaus vandens kelius</t>
  </si>
  <si>
    <t>Vandens kelio Dreverna-Juodkrantė  nužymėjimas ir priežiūra navigacijos laikotarpiu</t>
  </si>
  <si>
    <t>6.1.2.2.</t>
  </si>
  <si>
    <t>Modernizuoti apšvietimo sistemą Klaipėdos rajone</t>
  </si>
  <si>
    <t>Atnaujinti ir įrengti apšvietimo sistemą Gargžduose ir Klaipėdos rajono gyvenvietėse</t>
  </si>
  <si>
    <t>Naujų vartotojų elektros įrenginių prijungimas prie operatoriaus tinklų</t>
  </si>
  <si>
    <t>06.04.01.01</t>
  </si>
  <si>
    <t>6.2.1.7.</t>
  </si>
  <si>
    <t>Klaipėdos rajono seniūnijų gatvių apšvietimo sistemų palaikymas ir plėtra</t>
  </si>
  <si>
    <t>6.2.1.29</t>
  </si>
  <si>
    <t>Eismo saugumo ir aplinkos apsaugos priemonių diegimo projekto įgyvendinimas Klaipėdos rajone</t>
  </si>
  <si>
    <t>6.2.1.21.</t>
  </si>
  <si>
    <t>Projekto "Kelių ir gatvių apšvietimo sistemos infrastruktūros modernizavimas Klaipėdos rajone" įgyvendinimas</t>
  </si>
  <si>
    <t>6.2.1.31.</t>
  </si>
  <si>
    <t>Užtikrinti gatvių apšvietimo infrastruktūros priežiūrą Klaipėdos rajono seniūnijose</t>
  </si>
  <si>
    <t>Agluonėnų seniūnijos gatvių apšvietimas</t>
  </si>
  <si>
    <t>6.2.2.1.25.</t>
  </si>
  <si>
    <t>Dauparų-Kvietinių seniūnijos gatvių apšvietimas</t>
  </si>
  <si>
    <t>6.2.2.2.26.</t>
  </si>
  <si>
    <t>Dovilų seniūnijos gatvių apšvietimas</t>
  </si>
  <si>
    <t>6.2.2.3.27.</t>
  </si>
  <si>
    <t>Endriejavo seniūnijos gatvių apšvietimas</t>
  </si>
  <si>
    <t>6.2.2.4.28.</t>
  </si>
  <si>
    <t>Gargždų seniūnijos gatvių apšvietimas</t>
  </si>
  <si>
    <t>6.2.2.5.29.</t>
  </si>
  <si>
    <t>Judrėnų seniūnijos gatvių apšvietimas</t>
  </si>
  <si>
    <t>6.2.2.6.30.</t>
  </si>
  <si>
    <t>Kretingalės seniūnijos gatvių apšvietimas</t>
  </si>
  <si>
    <t>6.2.2.7.31.</t>
  </si>
  <si>
    <t>Priekulės seniūnijos gatvių apšvietimas</t>
  </si>
  <si>
    <t>6.2.2.8.32.</t>
  </si>
  <si>
    <t>Sendvario seniūnijos gatvių apšvietimas</t>
  </si>
  <si>
    <t>6.2.2.9.33.</t>
  </si>
  <si>
    <t>Veiviržėnų seniūnijos gatvių apšvietimas</t>
  </si>
  <si>
    <t>6.2.2.10.34</t>
  </si>
  <si>
    <t>Vėžaičių seniūnijos gatvių apšvietimas</t>
  </si>
  <si>
    <t>6.2.2.11.35.</t>
  </si>
  <si>
    <t>Prižiūrėti ir gerinti kitą Klaipėdos rajono inžinerinę infrastruktūrą</t>
  </si>
  <si>
    <t>Gerinti sodų bendrijų viešąją infrastruktūrą</t>
  </si>
  <si>
    <t>Klaipėdos rajono sodininkų bendrijų specialiosios programos įgyvendinimas</t>
  </si>
  <si>
    <t>06.02.01.01</t>
  </si>
  <si>
    <t>6.3.1.1.</t>
  </si>
  <si>
    <t>Gerinti keleivių pervežimą viešuoju transportu</t>
  </si>
  <si>
    <t>Subsidija vežėjų nuostoliams kompensuoti (dotacija)</t>
  </si>
  <si>
    <t>04.05.01.01</t>
  </si>
  <si>
    <t>6.3.3.1.</t>
  </si>
  <si>
    <t>Keleivinio viešojo transporto kontrolės rajone organizavimas</t>
  </si>
  <si>
    <t>6.3.3.2.</t>
  </si>
  <si>
    <t>Autobusų stotelių įrengimas Klaipėdos rajone</t>
  </si>
  <si>
    <t>6.3.3.3.</t>
  </si>
  <si>
    <t>Sutvarkyti ir praplėsti kapines</t>
  </si>
  <si>
    <t>Agluonėnų, Gargždų, Priekulės, Vėžaičių, Veiviržėnų, Endriejavo, Judrėnų, Kretingalės, Sendvario kapinių projektavimas, sutvarkymas, praplėtimas</t>
  </si>
  <si>
    <t>19 Agl</t>
  </si>
  <si>
    <t>6.3.4.1.25.</t>
  </si>
  <si>
    <t>22 Endr</t>
  </si>
  <si>
    <t>6.3.4.1.28.</t>
  </si>
  <si>
    <t>23 Grg</t>
  </si>
  <si>
    <t>6.3.4.1.29.</t>
  </si>
  <si>
    <t>24 Judr</t>
  </si>
  <si>
    <t>6.3.4.1.30.</t>
  </si>
  <si>
    <t>25 Kret</t>
  </si>
  <si>
    <t>6.3.4.1.31.</t>
  </si>
  <si>
    <t>26 Prkl</t>
  </si>
  <si>
    <t>6.3.4.1.32.</t>
  </si>
  <si>
    <t>27 Send</t>
  </si>
  <si>
    <t>6.3.4.1.33.</t>
  </si>
  <si>
    <t>28 Veiv</t>
  </si>
  <si>
    <t>6.3.4.1.34.</t>
  </si>
  <si>
    <t>29 Vėž</t>
  </si>
  <si>
    <t>6.3.4.1.35.</t>
  </si>
  <si>
    <t>Kolumbariumo infrastruktūros įrengimas Laugalių kapinėse Lėbartų kaime</t>
  </si>
  <si>
    <t>6.3.4.5.</t>
  </si>
  <si>
    <t>Kapinių skaitmeninimas Klaipėdos rajono savivaldybėje</t>
  </si>
  <si>
    <t>6.3.4.7.25.</t>
  </si>
  <si>
    <t>6.3.4.7.28</t>
  </si>
  <si>
    <t>6.3.4.7.35</t>
  </si>
  <si>
    <t>6.3.4.7.30.</t>
  </si>
  <si>
    <t>6.3.4.7.31.</t>
  </si>
  <si>
    <t>6.3.4.7.32.</t>
  </si>
  <si>
    <t>6.3.4.7.33.</t>
  </si>
  <si>
    <t>Kolumbariumų projektavimas ir statyba</t>
  </si>
  <si>
    <t>6.3.4.9.</t>
  </si>
  <si>
    <r>
      <t xml:space="preserve">Kelių priežiūros ir plėtros programos lėšos </t>
    </r>
    <r>
      <rPr>
        <b/>
        <sz val="8"/>
        <rFont val="Arial"/>
        <family val="2"/>
        <charset val="186"/>
      </rPr>
      <t>KPPP</t>
    </r>
  </si>
  <si>
    <r>
      <t xml:space="preserve">Viršplaninės pajamos (praėjusių metų) </t>
    </r>
    <r>
      <rPr>
        <b/>
        <sz val="8"/>
        <rFont val="Arial"/>
        <family val="2"/>
        <charset val="186"/>
      </rPr>
      <t>VLK</t>
    </r>
  </si>
  <si>
    <r>
      <t xml:space="preserve">Europos Sąjungos struktūrinių fondų lėšos </t>
    </r>
    <r>
      <rPr>
        <b/>
        <sz val="8"/>
        <rFont val="Arial"/>
        <family val="2"/>
        <charset val="186"/>
      </rPr>
      <t>ES</t>
    </r>
  </si>
  <si>
    <r>
      <t>Valstybės biudžeto lėšos ES struktūrinių fondų projektams</t>
    </r>
    <r>
      <rPr>
        <b/>
        <sz val="8"/>
        <rFont val="Arial"/>
        <family val="2"/>
        <charset val="186"/>
      </rPr>
      <t xml:space="preserve"> VBES</t>
    </r>
  </si>
  <si>
    <r>
      <t xml:space="preserve">Lėšos už parduotą žemę </t>
    </r>
    <r>
      <rPr>
        <b/>
        <sz val="8"/>
        <rFont val="Arial"/>
        <family val="2"/>
        <charset val="186"/>
      </rPr>
      <t>Ž</t>
    </r>
  </si>
  <si>
    <r>
      <t xml:space="preserve">Pajamos už paslaugas ir nuomą </t>
    </r>
    <r>
      <rPr>
        <b/>
        <sz val="8"/>
        <rFont val="Arial"/>
        <family val="2"/>
        <charset val="186"/>
      </rPr>
      <t>S</t>
    </r>
  </si>
  <si>
    <r>
      <t xml:space="preserve">Lėšų už paslaugas ir nuomą likučiai (praėjusių metų) </t>
    </r>
    <r>
      <rPr>
        <b/>
        <sz val="8"/>
        <rFont val="Arial"/>
        <family val="2"/>
        <charset val="186"/>
      </rPr>
      <t>LS</t>
    </r>
  </si>
  <si>
    <t>SB 04</t>
  </si>
  <si>
    <t>SB 06</t>
  </si>
  <si>
    <t>04 SB</t>
  </si>
  <si>
    <t>06 SB</t>
  </si>
  <si>
    <t>04 KPPP</t>
  </si>
  <si>
    <t>04 LA</t>
  </si>
  <si>
    <t>06 Kt</t>
  </si>
  <si>
    <t>ES 04</t>
  </si>
  <si>
    <t>KPPP 04</t>
  </si>
  <si>
    <t>2022-2024 METŲ KULTŪROS PAVELDO PUOSELĖJIMO IR KULTŪROS PASLAUGŲ PLĖTROS PROGRAMOS TIKSLŲ, UŽDAVINIŲ IR PRIEMONIŲ ASIGNAVIMŲ SUVESTINĖ</t>
  </si>
  <si>
    <t>3 strateginis tikslas. Puoselėti kultūrą ir kūno kultūrą rajone</t>
  </si>
  <si>
    <t>7 Kultūros paveldo puoselėjimo ir kultūros paslaugų plėtros programa</t>
  </si>
  <si>
    <t>Užtikrinti kultūros srities paslaugų teikimą</t>
  </si>
  <si>
    <t>Teikti kultūros paslaugas Savivaldybės kultūros įstaigose</t>
  </si>
  <si>
    <t>BĮ Gargždų kultūros centro veiklos organizavimas</t>
  </si>
  <si>
    <t>7.4</t>
  </si>
  <si>
    <t>08.02.01.08.</t>
  </si>
  <si>
    <t>7.1.1.2.</t>
  </si>
  <si>
    <t>BĮ Gargždų kultūros centro kino teatro „Minija“ veiklos organizavimas</t>
  </si>
  <si>
    <t>7.1.1.1.</t>
  </si>
  <si>
    <t>BĮ Kretingalės kultūros centro veiklos organizavimas</t>
  </si>
  <si>
    <t>7.5</t>
  </si>
  <si>
    <t>7.1.1.3.</t>
  </si>
  <si>
    <t>BĮ Priekulės kultūros centro veiklos organizavimas</t>
  </si>
  <si>
    <t>7.6</t>
  </si>
  <si>
    <t>7.1.1.4.</t>
  </si>
  <si>
    <t>BĮ Veiviržėnų kultūros centro veiklos organizavimas</t>
  </si>
  <si>
    <t>7.7</t>
  </si>
  <si>
    <t>7.1.1.5.</t>
  </si>
  <si>
    <t>BĮ Vėžaičių kultūros centro veiklos organizavimas</t>
  </si>
  <si>
    <t>7.8</t>
  </si>
  <si>
    <t>7.1.1.6.</t>
  </si>
  <si>
    <t>BĮ Dovilų etninės kultūros centro veiklos organizavimas</t>
  </si>
  <si>
    <t>7.2</t>
  </si>
  <si>
    <t>7.1.1.7.</t>
  </si>
  <si>
    <t>J. Lankučio viešosios bibliotekos ir jos filialų veiklos organizavimas</t>
  </si>
  <si>
    <t>7.1</t>
  </si>
  <si>
    <t>08.02.01.01.</t>
  </si>
  <si>
    <t>7.2.1.1.</t>
  </si>
  <si>
    <t>Kultūros įstaigų elektros ir kuro išlaidų finansavimas</t>
  </si>
  <si>
    <t>7.1.1.9.</t>
  </si>
  <si>
    <t>7.1.1.10.</t>
  </si>
  <si>
    <t>7.3</t>
  </si>
  <si>
    <t>Sudaryti sąlygas kultūrinės veiklos organizavimui ir kultūros sklaidai Klaipėdos rajone</t>
  </si>
  <si>
    <t>Mėgėjų meno kolektyvų atstovavimas tarptautiniuose renginiuose atstovaujant Klaipėdos rajonui ir prisidėjimas prie Kultūros tarybos finasuojamų projektų</t>
  </si>
  <si>
    <t>08.02.01.06.</t>
  </si>
  <si>
    <t>7.1.2.9.</t>
  </si>
  <si>
    <t>Projekto "Istorijos kryžkelės" įgyvendinimas</t>
  </si>
  <si>
    <t>08.02.01.07.</t>
  </si>
  <si>
    <t>7.1.2.19.</t>
  </si>
  <si>
    <t>1.</t>
  </si>
  <si>
    <t>2.</t>
  </si>
  <si>
    <t>3.</t>
  </si>
  <si>
    <t>Klaipėdos rajonui reikšmingų datų, įvykių, asmenybių įamžinimas</t>
  </si>
  <si>
    <t>7.1.2.20.</t>
  </si>
  <si>
    <t>Modernizuoti kultūros įstaigų infrastruktūrą</t>
  </si>
  <si>
    <t>Remontuoti ir rekonstruoti kultūros įstaigų infrastruktūrą</t>
  </si>
  <si>
    <t>Projekto „Plikių kultūros namų pastato modernizavimas“ įgyvendinimas</t>
  </si>
  <si>
    <t>7.3.1.11.</t>
  </si>
  <si>
    <t>Endriejavo kultūros namų, bibliotekos ir seniūnijos šildymo sistemų ir kultūros paskirties pastatų modernizavimas</t>
  </si>
  <si>
    <t>7.3.1.36.</t>
  </si>
  <si>
    <t>319.7</t>
  </si>
  <si>
    <t xml:space="preserve">Gargždų kultūros centro pastato modernizavimas </t>
  </si>
  <si>
    <t>7.3.1.38.</t>
  </si>
  <si>
    <t xml:space="preserve">Veiviržėnų kultūros centro pastato modernizavimas </t>
  </si>
  <si>
    <t>7.3.1.39.</t>
  </si>
  <si>
    <t xml:space="preserve">Puoselėti krašto etnografinį savitumą, papročių bei tradicijų autentiškumą ir perimamumą </t>
  </si>
  <si>
    <t>Užtikrinti krašto etninės kultūros vertybių perimamumą, apsaugą ir populiarinimą, tenkinant visuomenės etnokultūrinius poreikius</t>
  </si>
  <si>
    <t>Etninės kultūros plėtros programos įgyvendinimas</t>
  </si>
  <si>
    <t>7.4.1.1.</t>
  </si>
  <si>
    <t>Premijų Klaipėdos rajonui nusipelniusiems ir pasižymėjusiems asmenims skyrimas</t>
  </si>
  <si>
    <t>08.06.01.01.</t>
  </si>
  <si>
    <t>7.4.1.2.</t>
  </si>
  <si>
    <t>Pristatyti ir skleisti krašto istoriją vykdant muziejaus veiklą</t>
  </si>
  <si>
    <t>Gargždų krašto muziejaus ir jo filialų veiklos organizavimas</t>
  </si>
  <si>
    <t>08.02.01.02.</t>
  </si>
  <si>
    <t>7.2.2.1.</t>
  </si>
  <si>
    <t>Išsaugoti kultūros paveldą ir jo kultūrinę vertę</t>
  </si>
  <si>
    <t>Organizuoti kultūros vertybių tvarkymą ir išsaugojimą</t>
  </si>
  <si>
    <t>Senųjų kapinių tvarkymo ir priežiūros darbai</t>
  </si>
  <si>
    <t>7.5.1.1.</t>
  </si>
  <si>
    <t xml:space="preserve">Kultūros paveldo objektų ir jų vertingųjų savybių išsaugojimo darbai </t>
  </si>
  <si>
    <t>7.5.1.35.</t>
  </si>
  <si>
    <t>7.5.1.35.28.</t>
  </si>
  <si>
    <t>7.5.1.35.32</t>
  </si>
  <si>
    <t>Žydų žudynių ir užkasimo vietų išsaugojimas ir įprasminimas</t>
  </si>
  <si>
    <t>7.5.1.30.</t>
  </si>
  <si>
    <t>Projekto "Bendradarbiavimas per sieną nuo kranto iki kranto (Cross-border Cooperation from Coast to Coast)" įgyvendinimas</t>
  </si>
  <si>
    <t>7.5.1.43.</t>
  </si>
  <si>
    <t>Kultūros paveldo objektų, esančių Klaipėdos rajono savivaldybės teritorijoje, ir kultūros paveldo statinių, esančių Priekulės miesto istorinėje dalyje, išsaugojimo darbų dalinis finansavimas</t>
  </si>
  <si>
    <t>7.5.1.56.</t>
  </si>
  <si>
    <t>Piliakalnių pritaikymo turizmo ir visuomenės poreikiams įgyvendinimas</t>
  </si>
  <si>
    <t>7.5.1.68.</t>
  </si>
  <si>
    <t>Kultūros paveldo objektų apskaita (inventorizavimas, atskleidimas, registravimas), taikomieji tyrimai, pažinimas ir sklaida</t>
  </si>
  <si>
    <t>7.5.2.1.</t>
  </si>
  <si>
    <t>Organizuoti religinio paveldo objektų tvarkymą ir išsaugojimą</t>
  </si>
  <si>
    <t>Koplyčios-mauzoliejaus, esančio Stragnų II k., Priekulės sen.,  restauravimo darbų techninio projekto parengimas ir įgyvendinimas</t>
  </si>
  <si>
    <t>7.5.1.26.</t>
  </si>
  <si>
    <t>Saugomų mažosios architektūros (lurdų, skulptūrų, kryžių, koplytėlių, koplytstulpių ir kt.) objektų tvarkymo ir priežiūros darbai</t>
  </si>
  <si>
    <t>7.5.1.71.</t>
  </si>
  <si>
    <t>7.5.1.71.32.</t>
  </si>
  <si>
    <r>
      <rPr>
        <sz val="8"/>
        <rFont val="Arial"/>
        <family val="2"/>
        <charset val="186"/>
      </rPr>
      <t xml:space="preserve">Dotacija valstybės investicijų programoje numatytiems projektams įgyvendinti </t>
    </r>
    <r>
      <rPr>
        <b/>
        <sz val="8"/>
        <rFont val="Arial"/>
        <family val="2"/>
        <charset val="186"/>
      </rPr>
      <t>VBD (VIP)</t>
    </r>
  </si>
  <si>
    <t>Klaipėdos rajono savivaldybės strateginio
 veiklos plano 2022-2024 m. 
1 priedas</t>
  </si>
  <si>
    <t xml:space="preserve"> 2022-2024 METŲ KŪNO KULTŪROS IR SPORTO PLĖTROS PROGRAMOS TIKSLŲ, UŽDAVINIŲ IR PRIEMONIŲ ASIGNAVIMŲ SUVESTINĖ</t>
  </si>
  <si>
    <t>3 tikslas. Puoselėti kultūrą ir kūno kultūrą rajone</t>
  </si>
  <si>
    <t>8 Kūno kultūros ir sporto plėtros programa</t>
  </si>
  <si>
    <t>Plėtoti sporto paslaugas ir vykdyti aktyvią sporto politiką</t>
  </si>
  <si>
    <t>Plėtoti fizinio aktyvumo veiklas</t>
  </si>
  <si>
    <t>Fizinio aktyvumo ir sporto veiklų organizavimas seniūnijose</t>
  </si>
  <si>
    <t>11.37</t>
  </si>
  <si>
    <t>08.01.01.01</t>
  </si>
  <si>
    <t>8.1.1.1.</t>
  </si>
  <si>
    <t>Skatinti sporto klubų veiklą</t>
  </si>
  <si>
    <t>Sportininkų, reprezentuojančių Klaipėdos rajono savivaldybę aukšto meistriškumo sporto varžybose, finansavimo programa</t>
  </si>
  <si>
    <t>08.01.01.02.</t>
  </si>
  <si>
    <t>8.1.2.9.</t>
  </si>
  <si>
    <t>Jaunųjų futbolininkų ugdymo programos įgyvendinimas</t>
  </si>
  <si>
    <t>11.38</t>
  </si>
  <si>
    <t>8.1.2.10.</t>
  </si>
  <si>
    <t>Klaipėdos krašto buriavimo sporto mokyklos „Žiemys“ ugdymo programos įgyvendinimas</t>
  </si>
  <si>
    <t>11.39</t>
  </si>
  <si>
    <t>8.1.2.11.</t>
  </si>
  <si>
    <t>Sportininkų ir jų trenerių skatinimas už pasiektus sporto laimėjimus</t>
  </si>
  <si>
    <t>Plėtoti fizinio aktyvumo veikloms palankią infrastruktūrą</t>
  </si>
  <si>
    <t xml:space="preserve">Užtikrinti fiziniam aktyvumui palankią aplinką bei kurti naują sporto infrastruktūrą </t>
  </si>
  <si>
    <t>Vaikų žaidimo, sporto aikštelių, lauko ir vidaus treniruoklių įrengimas ir priežiūra Klaipėdos rajono savivaldybės seniūnijose</t>
  </si>
  <si>
    <t>08.01.01.02</t>
  </si>
  <si>
    <t>8.2.1.1.</t>
  </si>
  <si>
    <t>Projekto „Stovyklavietės įrengimas Gargždų karjerų teritorijoje“ įgyvendinimas</t>
  </si>
  <si>
    <t>8.2.1.24.</t>
  </si>
  <si>
    <t>Daugiafunkcio sporto centro Gargžduose statybos techninio projekto parengimas ir įgyvendinimas</t>
  </si>
  <si>
    <t>8.2.2.6.</t>
  </si>
  <si>
    <t>VBD 
(VIP)</t>
  </si>
  <si>
    <r>
      <rPr>
        <sz val="8"/>
        <rFont val="Arial"/>
        <family val="2"/>
        <charset val="186"/>
      </rPr>
      <t xml:space="preserve">Savivaldybės pajamos iš surenkamų mokesčių </t>
    </r>
    <r>
      <rPr>
        <b/>
        <sz val="8"/>
        <rFont val="Arial"/>
        <family val="2"/>
        <charset val="186"/>
      </rPr>
      <t>SB</t>
    </r>
  </si>
  <si>
    <r>
      <rPr>
        <sz val="8"/>
        <rFont val="Arial"/>
        <family val="2"/>
        <charset val="186"/>
      </rPr>
      <t xml:space="preserve">Lėšos už paslaugas ir nuomą </t>
    </r>
    <r>
      <rPr>
        <b/>
        <sz val="8"/>
        <rFont val="Arial"/>
        <family val="2"/>
        <charset val="186"/>
      </rPr>
      <t>S</t>
    </r>
  </si>
  <si>
    <r>
      <rPr>
        <sz val="8"/>
        <rFont val="Arial"/>
        <family val="2"/>
        <charset val="186"/>
      </rPr>
      <t xml:space="preserve">Kitos lėšos </t>
    </r>
    <r>
      <rPr>
        <b/>
        <sz val="8"/>
        <rFont val="Arial"/>
        <family val="2"/>
        <charset val="186"/>
      </rPr>
      <t>Kt</t>
    </r>
  </si>
  <si>
    <r>
      <rPr>
        <sz val="8"/>
        <rFont val="Arial"/>
        <family val="2"/>
        <charset val="186"/>
      </rPr>
      <t xml:space="preserve">Viršplaninės pajamos (praėjusių metų) </t>
    </r>
    <r>
      <rPr>
        <b/>
        <sz val="8"/>
        <rFont val="Arial"/>
        <family val="2"/>
        <charset val="1"/>
      </rPr>
      <t>VLK</t>
    </r>
  </si>
  <si>
    <r>
      <t xml:space="preserve">Valstybės biudžeto biudžeto lėšos </t>
    </r>
    <r>
      <rPr>
        <b/>
        <sz val="8"/>
        <rFont val="Arial"/>
        <family val="2"/>
        <charset val="186"/>
      </rPr>
      <t>VBD</t>
    </r>
  </si>
  <si>
    <t>2022-2024 METŲ SAVIVALDYBĖS VALDYMO IR PAGRINDINIŲ FUNKCIJŲ VYKDYMO PROGRAMOS TIKSLŲ, UŽDAVINIŲ IR PRIEMONIŲ ASIGNAVIMŲ SUVESTINĖ</t>
  </si>
  <si>
    <t xml:space="preserve">tūkst. eurų </t>
  </si>
  <si>
    <t>Vvykdytojo kodas</t>
  </si>
  <si>
    <t>4 strateginis tikslas. Plėtoti vietos savivaldą</t>
  </si>
  <si>
    <t>9 Savivaldybės valdymo ir pagrindinių funkcijų vykdymo programa</t>
  </si>
  <si>
    <t>Efektyviai organizuoti Savivaldybės darbą, tinkamai įgyvendinant jos funkcijas</t>
  </si>
  <si>
    <t>Sudaryti sąlygas Savivaldybės funkcijų efektyviam įgyvendinimui</t>
  </si>
  <si>
    <t>Tarybos darbo organizavimas:</t>
  </si>
  <si>
    <t>01.01.01.09.</t>
  </si>
  <si>
    <t>9.1.1.1.</t>
  </si>
  <si>
    <t>Taryba</t>
  </si>
  <si>
    <t>Tarybos ir mero sekretoriatas</t>
  </si>
  <si>
    <t>Mero fondas</t>
  </si>
  <si>
    <t>Administracijos darbo organizavimas</t>
  </si>
  <si>
    <t>01.03.02.09.</t>
  </si>
  <si>
    <t>9.1.1.2.</t>
  </si>
  <si>
    <t>VBD (COVID)</t>
  </si>
  <si>
    <t>04.04.04.09.</t>
  </si>
  <si>
    <t>04.09.01.01.</t>
  </si>
  <si>
    <t>05.06.01.09.</t>
  </si>
  <si>
    <t>07.06.01.09.</t>
  </si>
  <si>
    <t>08.06.01.09.</t>
  </si>
  <si>
    <t>09.08.01.09.</t>
  </si>
  <si>
    <t>Reprezentacinės išlaidos</t>
  </si>
  <si>
    <t>01.06.01.02.</t>
  </si>
  <si>
    <t>Administracijos darbo organizavimas (Direktoriaus rezervas)</t>
  </si>
  <si>
    <t>01.06.01.04.</t>
  </si>
  <si>
    <t>Kontrolieriaus tarnybos darbo organizavimas</t>
  </si>
  <si>
    <t>9.1.1.3.</t>
  </si>
  <si>
    <t>Agluonėnų seniūnijos darbo organizavimas</t>
  </si>
  <si>
    <t>9.1.1.4.25.</t>
  </si>
  <si>
    <t>Dauparų Kvietinių seniūnijos darbo organizavimas</t>
  </si>
  <si>
    <t>9.1.1.4.26.</t>
  </si>
  <si>
    <t>Dovilų seniūnijos darbo organizavimas</t>
  </si>
  <si>
    <t>9.1.1.4.27.</t>
  </si>
  <si>
    <t>Endriejavo seniūnijos darbo organizavimas</t>
  </si>
  <si>
    <t>9.1.1.4.28.</t>
  </si>
  <si>
    <t>Gargždų seniūnijos darbo organizavimas</t>
  </si>
  <si>
    <t>9.1.1.4.29.</t>
  </si>
  <si>
    <t>Judrėnų seniūnijos darbo organizavimas</t>
  </si>
  <si>
    <t>9.1.1.4.30.</t>
  </si>
  <si>
    <t>Kretingalės seniūnijos darbo organizavimas</t>
  </si>
  <si>
    <t>9.1.1.4.31.</t>
  </si>
  <si>
    <t>Priekulės seniūnijos darbo organizavimas</t>
  </si>
  <si>
    <t>9.1.1.4.32.</t>
  </si>
  <si>
    <t>Sendvario seniūnijos darbo organizavimas</t>
  </si>
  <si>
    <t>9.1.1.4.33.</t>
  </si>
  <si>
    <t>Veiviržėnų seniūnijos darbo organizavimas</t>
  </si>
  <si>
    <t>9.1.1.4.34.</t>
  </si>
  <si>
    <t>Vėžaičių seniūnijos darbo organizavimas</t>
  </si>
  <si>
    <t>9.1.1.4.35.</t>
  </si>
  <si>
    <t xml:space="preserve">Projekto "Paslaugų teikimo gyventojams kokybės gerinimas Klaipėdos regiono savivaldybėse" įgyvendinimas </t>
  </si>
  <si>
    <t>9.1.1.7.</t>
  </si>
  <si>
    <t>Klaipėdos rajono strateginių plėtros dokumentų  rengimas</t>
  </si>
  <si>
    <t>9.1.1.8.</t>
  </si>
  <si>
    <t>Narkotikų kontrolės ir nusikalstamumo prevencijos užtikrinimas</t>
  </si>
  <si>
    <t>13</t>
  </si>
  <si>
    <t>03.01.01.01.</t>
  </si>
  <si>
    <t>9.1.4.1.</t>
  </si>
  <si>
    <t>Viešinimo priemonės</t>
  </si>
  <si>
    <t>9.2.1.3.</t>
  </si>
  <si>
    <t>Kolektyvių apsaugos statinių, esančių Klaipėdos rajono savivaldybės teritorijoje, aprūpinimas priemonėmis</t>
  </si>
  <si>
    <t>9.5.2.11.</t>
  </si>
  <si>
    <t>Teisės aktų projektų lyginamųjų variantų rengimo proceso tobulinimas (GovTech)</t>
  </si>
  <si>
    <t>6</t>
  </si>
  <si>
    <t>9.2.1.7.</t>
  </si>
  <si>
    <t>Projekto "Klaipėdos rajono biudžetinių įstaigų apskaitos optimizavimas" įgyvendinimas</t>
  </si>
  <si>
    <t xml:space="preserve">9.1.1.17. 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</si>
  <si>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</si>
  <si>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</si>
  <si>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</si>
  <si>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</si>
  <si>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</si>
  <si>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</si>
  <si>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</si>
  <si>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</si>
  <si>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11.12.</t>
  </si>
  <si>
    <t>11.13.</t>
  </si>
  <si>
    <t>11.14.</t>
  </si>
  <si>
    <t>11.16.</t>
  </si>
  <si>
    <t>11.18.</t>
  </si>
  <si>
    <t>11.19.</t>
  </si>
  <si>
    <t>11.20.</t>
  </si>
  <si>
    <t>11.21.</t>
  </si>
  <si>
    <t>11.22.</t>
  </si>
  <si>
    <t>11.28.</t>
  </si>
  <si>
    <t>11.30.</t>
  </si>
  <si>
    <t>11.33.</t>
  </si>
  <si>
    <t>11.34.</t>
  </si>
  <si>
    <t>11.36.</t>
  </si>
  <si>
    <t>9.1.1.17.</t>
  </si>
  <si>
    <t>11.37.</t>
  </si>
  <si>
    <t>15.1.</t>
  </si>
  <si>
    <t>7.1.</t>
  </si>
  <si>
    <t>7.2.</t>
  </si>
  <si>
    <t>7.3.</t>
  </si>
  <si>
    <t>7.4.</t>
  </si>
  <si>
    <t>7.5.</t>
  </si>
  <si>
    <t>7.6.</t>
  </si>
  <si>
    <t>7.7.</t>
  </si>
  <si>
    <t>7.8.</t>
  </si>
  <si>
    <t>7.13.</t>
  </si>
  <si>
    <t>7.15.</t>
  </si>
  <si>
    <t>7.16.</t>
  </si>
  <si>
    <t>16.1.</t>
  </si>
  <si>
    <t>Tinkamai įgyvendinti Savivaldybei perduotas valstybės funkcijas</t>
  </si>
  <si>
    <t>Gyventojų registro tvarkymas ir duomenų valstybės registrui teikimas</t>
  </si>
  <si>
    <t>01.03.03.02</t>
  </si>
  <si>
    <t>9.1.2.1.</t>
  </si>
  <si>
    <t>Archyvinių dokumentų tvarkymas</t>
  </si>
  <si>
    <t>01.03.03.02.</t>
  </si>
  <si>
    <t>9.1.2.2.</t>
  </si>
  <si>
    <t>Jaunimo teisių apsauga</t>
  </si>
  <si>
    <t>10.09.01.01.</t>
  </si>
  <si>
    <t>9.1.2.4.</t>
  </si>
  <si>
    <t>Valstybinės kalbos vartojimo ir taisyklingumo kontrolė</t>
  </si>
  <si>
    <t>9.1.2.5.</t>
  </si>
  <si>
    <t>Civilinės būklės aktų registravimas</t>
  </si>
  <si>
    <t>9.1.2.6.</t>
  </si>
  <si>
    <t>Valstybinės žemės ir kito valstybės turto valdymas ir disponavimas juo patikėjimo teise</t>
  </si>
  <si>
    <t>01.06.01.03.</t>
  </si>
  <si>
    <t>9.1.2.7.</t>
  </si>
  <si>
    <t>Pirminė teisinė pagalba</t>
  </si>
  <si>
    <t>9.1.2.10.</t>
  </si>
  <si>
    <t>Mobilizacijos administravimas</t>
  </si>
  <si>
    <t>02.01.01.04.</t>
  </si>
  <si>
    <t>9.1.2.11.</t>
  </si>
  <si>
    <t>Civilinės saugos organizavimas</t>
  </si>
  <si>
    <t>02.02.01.01.</t>
  </si>
  <si>
    <t>9.1.2.13.</t>
  </si>
  <si>
    <t>Žemės ūkio funkcijų vykdymas</t>
  </si>
  <si>
    <t>04.02.01.04.</t>
  </si>
  <si>
    <t>9.1.2.14.19.</t>
  </si>
  <si>
    <t>VBL</t>
  </si>
  <si>
    <t>VBR</t>
  </si>
  <si>
    <t>9.1.2.14.25.</t>
  </si>
  <si>
    <t>9.1.2.14.27.</t>
  </si>
  <si>
    <t>9.1.2.14.30.</t>
  </si>
  <si>
    <t>9.1.2.14.32.</t>
  </si>
  <si>
    <t>9.1.2.14.33.</t>
  </si>
  <si>
    <t>9.1.2.14.34.</t>
  </si>
  <si>
    <t>9.1.2.14.35.</t>
  </si>
  <si>
    <t>Savivaldybės priešgaisrinių tarnybų darbo organizavimas</t>
  </si>
  <si>
    <t>03.02.01.01.</t>
  </si>
  <si>
    <t>9.1.2.15.</t>
  </si>
  <si>
    <t>Socialinių išmokų skaičiavimas ir mokėjimas</t>
  </si>
  <si>
    <t>10.09.01.09.</t>
  </si>
  <si>
    <t>9.1.2.16.</t>
  </si>
  <si>
    <t>10.01.02.01.</t>
  </si>
  <si>
    <t>10.04.01.01.</t>
  </si>
  <si>
    <t>10.07.01.01.</t>
  </si>
  <si>
    <t>10.04.01.40.</t>
  </si>
  <si>
    <t>Prašymų socialinių išmokų mokėjimui priėmimas seniūnijose</t>
  </si>
  <si>
    <t>9.1.2.17.25.</t>
  </si>
  <si>
    <t>20 Dpr</t>
  </si>
  <si>
    <t>9.1.2.17.26.</t>
  </si>
  <si>
    <t>21 Dov</t>
  </si>
  <si>
    <t>9.1.2.17.27.</t>
  </si>
  <si>
    <t>9.1.2.17.28.</t>
  </si>
  <si>
    <t>9.1.2.17.29.</t>
  </si>
  <si>
    <t>24 Jdr</t>
  </si>
  <si>
    <t>9.1.2.17.30.</t>
  </si>
  <si>
    <t>25 Krtg</t>
  </si>
  <si>
    <t>9.1.2.17.31.</t>
  </si>
  <si>
    <t>9.1.2.17.32.</t>
  </si>
  <si>
    <t>27 Sdv</t>
  </si>
  <si>
    <t>9.1.2.17.33.</t>
  </si>
  <si>
    <t>9.1.2.17.34.</t>
  </si>
  <si>
    <t>9.1.2.17.35.</t>
  </si>
  <si>
    <t>Iš viso VBM 10.04.01.40.:</t>
  </si>
  <si>
    <t>iš viso SB 10.09.01.09.:</t>
  </si>
  <si>
    <t>Duomenų teikimas Valstybės suteiktos pagalbos registrui</t>
  </si>
  <si>
    <t>9.1.2.19.</t>
  </si>
  <si>
    <t>Gyvenamosios vietos deklaravimas</t>
  </si>
  <si>
    <t>9.1.2.20.1.</t>
  </si>
  <si>
    <t>9.1.2.20.25.</t>
  </si>
  <si>
    <t>9.1.2.20.26.</t>
  </si>
  <si>
    <t>9.1.2.20.28.</t>
  </si>
  <si>
    <t>9.1.2.20.29.</t>
  </si>
  <si>
    <t>9.1.2.20.30.</t>
  </si>
  <si>
    <t>9.1.2.20.31.</t>
  </si>
  <si>
    <t>9.1.2.20.32.</t>
  </si>
  <si>
    <t>9.1.2.20.33.</t>
  </si>
  <si>
    <t>9.1.2.20.34.</t>
  </si>
  <si>
    <t>9.1.2.20.35.</t>
  </si>
  <si>
    <t>Iš viso SB:</t>
  </si>
  <si>
    <t>Iš viso VBD:</t>
  </si>
  <si>
    <t>Savivaldybės erdvinių duomenų rinkinio tvarkymas</t>
  </si>
  <si>
    <t>04.02.01.02</t>
  </si>
  <si>
    <t>9.1.2.21.</t>
  </si>
  <si>
    <t>Tarpinstitucinis bendradarbiavimas</t>
  </si>
  <si>
    <t>9.1.1.2</t>
  </si>
  <si>
    <t>9.1.2.26.</t>
  </si>
  <si>
    <t>Organizuoti investicijų bei ES struktūrinių fondų lėšų pritraukimą į Klaipėdos rajoną</t>
  </si>
  <si>
    <t>Dokumentacijos rengimas, siekiant gauti finansavimą iš išorės programų bei įgyvendinant VPSP projektus</t>
  </si>
  <si>
    <t>9.1.5.1.</t>
  </si>
  <si>
    <t>Efektyviai valdyti Klaipėdos rajono savivaldybės paskolas</t>
  </si>
  <si>
    <t>Palūkanų mokėjimas</t>
  </si>
  <si>
    <t>01.07.01.01.</t>
  </si>
  <si>
    <t>9.1.6.1.</t>
  </si>
  <si>
    <t>Paskolų grąžinimas</t>
  </si>
  <si>
    <t>01.03.02.01.</t>
  </si>
  <si>
    <t>9.1.6.2.</t>
  </si>
  <si>
    <t>Plėtoti Savivaldybės tarptautinį bendradarbiavimą bei bendradarbiavimą su kitomis Lietuvos savivaldybėmis, institucijomis ir vietos bendruomene</t>
  </si>
  <si>
    <t>Skatinti Savivaldybės tarptautinį bendradarbiavimą įvairiose srityse bei bendradarbiavimą su kitomis savivaldybėmis</t>
  </si>
  <si>
    <r>
      <t>Tarptautinio bendradarbiavimo stiprinimas (</t>
    </r>
    <r>
      <rPr>
        <i/>
        <sz val="8"/>
        <color theme="1"/>
        <rFont val="Arial"/>
        <family val="2"/>
        <charset val="186"/>
      </rPr>
      <t>Tarptautinių projektų programos įgyvendinimas; tarptautinių ryšių su esamais ir galimais užsienio partneriais plėtojimas</t>
    </r>
    <r>
      <rPr>
        <sz val="8"/>
        <color theme="1"/>
        <rFont val="Arial"/>
        <family val="2"/>
        <charset val="186"/>
      </rPr>
      <t>)</t>
    </r>
  </si>
  <si>
    <t>9.4.1.1.</t>
  </si>
  <si>
    <t>Asociacijos „Klaipėdos regionas“ nario mokestis</t>
  </si>
  <si>
    <t>9.1.1.14.</t>
  </si>
  <si>
    <t>Dalyvavimas projekto "Tarpsieninio bendradarbiavimo stiprinimas, kuriant tvarią ilgalaikę plėtrą tarp Klaipėdos ir Kuržemės regionų" įgyvendinime</t>
  </si>
  <si>
    <t>04.07.04.01.</t>
  </si>
  <si>
    <t>9.1.1.16.</t>
  </si>
  <si>
    <t xml:space="preserve"> Bendradarbiauti su gyventojais ir vietos bendruomene, siekiant efektyviau tenkinti viešąjį interesą</t>
  </si>
  <si>
    <t>Seniūnaičių veiklos išlaidų kompensavimas</t>
  </si>
  <si>
    <t>9.4.2.18.</t>
  </si>
  <si>
    <t>Gyventojų iniciatyvų, skirtų gyvenamajai aplinkai gerinti, skatinimas</t>
  </si>
  <si>
    <t>2,9,18</t>
  </si>
  <si>
    <t>08.04.01.01.</t>
  </si>
  <si>
    <t>9.4.1.7.</t>
  </si>
  <si>
    <t>21</t>
  </si>
  <si>
    <t>9.4.1.7.27.</t>
  </si>
  <si>
    <t>22</t>
  </si>
  <si>
    <t>9.4.1.7.28.</t>
  </si>
  <si>
    <t>23</t>
  </si>
  <si>
    <t>9.4.1.7.29.</t>
  </si>
  <si>
    <t>28</t>
  </si>
  <si>
    <t>9.4.1.7.34.</t>
  </si>
  <si>
    <t>9.4.1.7.35.</t>
  </si>
  <si>
    <t>Užtikrinti efektyvų Savivaldybei nuosavybės teise priklausančio turto valdymą</t>
  </si>
  <si>
    <t>Teisiškai įregistruoti neregistruotą ir efektyviai valdyti Savivaldybės tarybai priklausantį nekilnojamąjį turtą</t>
  </si>
  <si>
    <t>Savivaldybės turto kadastriniai, topografiniai matavimai ir teisinė registracija</t>
  </si>
  <si>
    <t>04.01.01.06.</t>
  </si>
  <si>
    <t>9.5.1.1.</t>
  </si>
  <si>
    <t>Nekilnojamojo turto rinkos vertės nustatymas</t>
  </si>
  <si>
    <t>9.5.1.2.</t>
  </si>
  <si>
    <t>Patalpų paskirties pakeitimo projektinės dokumentacijos parengimas</t>
  </si>
  <si>
    <t>9.5.1.3.</t>
  </si>
  <si>
    <t>Nekilnojamojo turto įsigijimas viešųjų poreikių tenkinimui</t>
  </si>
  <si>
    <t>9.5.6.4.</t>
  </si>
  <si>
    <t>Tinkamai naudoti, prižiūrėti ir remontuoti Savivaldybės nekilnojamąjį turtą</t>
  </si>
  <si>
    <t>Administracijos pastato rekonstravimo projektavimo ir statybos darbai</t>
  </si>
  <si>
    <t>9.5.2.4.</t>
  </si>
  <si>
    <t>Statybos objektų statinių techninės priežiūros, projekto vykdymo priežiūros, projekto ekspertizės, ataskaitų po projekto įgyvendinimo rengimo paslaugų pirkimas ir vykdymas</t>
  </si>
  <si>
    <t>9.5.2.10.</t>
  </si>
  <si>
    <t>Savivaldybės statinių remontas (Administracijos direktoriaus įsakymais)</t>
  </si>
  <si>
    <t>9.5.6.1.</t>
  </si>
  <si>
    <t>Katilinių priežiūros ir remonto paslaugos pirkimas</t>
  </si>
  <si>
    <t>9.5.6.2.</t>
  </si>
  <si>
    <t>UAB "Klaipėdos rajono energija" įstatinio kapitalo didinimas</t>
  </si>
  <si>
    <t>9.5.6.5.</t>
  </si>
  <si>
    <t>Klaipėdos rajono švietimo, kultūros, seniūnijų ir kitų savivaldybės įstaigų elektros ūkio techninė priežiūra</t>
  </si>
  <si>
    <t>06.04.01.01.</t>
  </si>
  <si>
    <t>9.4.6.5.</t>
  </si>
  <si>
    <t>Gargždų autobusų stoties pastato projektavimas ir statyba</t>
  </si>
  <si>
    <t>9.4.6.6.</t>
  </si>
  <si>
    <t>Sendvario seniūnijos patalpų projektavimas ir įrengimas</t>
  </si>
  <si>
    <t>9.4.6.7.</t>
  </si>
  <si>
    <t>Kompensuojamos lėšos UAB "Klaipėdos rajono energija" pagal Klaipėdos rajono savivaldybės Tarybos sprendimus</t>
  </si>
  <si>
    <t>10.07.01.02.</t>
  </si>
  <si>
    <t>9.1.1.15.</t>
  </si>
  <si>
    <t>Dalyvauti gerinant rajono gyvenamąjį fondą</t>
  </si>
  <si>
    <t>Klaipėdos rajono savivaldybės daugiabučių namų savininkų bendrijų rėmimo programos įgyvendinimas</t>
  </si>
  <si>
    <t>06.01.01.01.</t>
  </si>
  <si>
    <t>9.5.4.1.</t>
  </si>
  <si>
    <t>Finansavimas daugiabučių namų administratoriams</t>
  </si>
  <si>
    <t>9.5.4.2.</t>
  </si>
  <si>
    <t>Prižiūrėti Savivaldybės statinius bei modernizuoti administracinės paskirties pastatus</t>
  </si>
  <si>
    <t>PF</t>
  </si>
  <si>
    <t>Savivaldybės statinių eksploatavimo priežiūros funkcijos vykdymas</t>
  </si>
  <si>
    <t>06.01.01.01</t>
  </si>
  <si>
    <r>
      <t xml:space="preserve">Savivaldybės biudžeto lėšos </t>
    </r>
    <r>
      <rPr>
        <b/>
        <sz val="8"/>
        <rFont val="Arial"/>
        <family val="2"/>
        <charset val="186"/>
      </rPr>
      <t>SB</t>
    </r>
  </si>
  <si>
    <r>
      <t>Valstybės biudžeto specialioji tikslinė dotacija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VBD</t>
    </r>
  </si>
  <si>
    <r>
      <t xml:space="preserve">Valstybės biudžeto lėšos išmokoms vaikams ir šalpos išmokoms mokėti ir administruoti </t>
    </r>
    <r>
      <rPr>
        <b/>
        <sz val="8"/>
        <rFont val="Arial"/>
        <family val="2"/>
        <charset val="186"/>
      </rPr>
      <t>VBM</t>
    </r>
  </si>
  <si>
    <r>
      <t>Lėšų už paslaugas ir nuomą likučiai (praėjusių metų)</t>
    </r>
    <r>
      <rPr>
        <b/>
        <sz val="8"/>
        <rFont val="Arial"/>
        <family val="2"/>
      </rPr>
      <t xml:space="preserve"> LS</t>
    </r>
  </si>
  <si>
    <r>
      <t xml:space="preserve">Valstybės biudžeto specialiosios tikslinės dotacijos žemės ūkio funkcijų vykdymui Klaipėdos mieste </t>
    </r>
    <r>
      <rPr>
        <b/>
        <sz val="8"/>
        <rFont val="Arial"/>
        <family val="2"/>
        <charset val="186"/>
      </rPr>
      <t>VBL</t>
    </r>
  </si>
  <si>
    <r>
      <t xml:space="preserve">Valstybės biudžeto specialiosios tikslinės dotacijos žemės ūkio funkcijų vykdymui Neringos mieste </t>
    </r>
    <r>
      <rPr>
        <b/>
        <sz val="8"/>
        <rFont val="Arial"/>
        <family val="2"/>
        <charset val="186"/>
      </rPr>
      <t>VBR</t>
    </r>
  </si>
  <si>
    <r>
      <t xml:space="preserve">Viršplaninės pajamos (praėjusių metų) </t>
    </r>
    <r>
      <rPr>
        <b/>
        <sz val="8"/>
        <rFont val="Arial"/>
        <family val="2"/>
        <charset val="186"/>
      </rPr>
      <t xml:space="preserve">VLK </t>
    </r>
  </si>
  <si>
    <r>
      <t xml:space="preserve">ES struktūrinių fondų lėšos, tenkančios partneriams </t>
    </r>
    <r>
      <rPr>
        <b/>
        <sz val="8"/>
        <rFont val="Arial"/>
        <family val="2"/>
      </rPr>
      <t xml:space="preserve"> ES(Kt)</t>
    </r>
  </si>
  <si>
    <r>
      <t>Savivaldybės biudžeto lėšų nepanaudoti likučiai</t>
    </r>
    <r>
      <rPr>
        <b/>
        <sz val="8"/>
        <rFont val="Arial"/>
        <family val="2"/>
        <charset val="186"/>
      </rPr>
      <t xml:space="preserve"> LK</t>
    </r>
  </si>
  <si>
    <r>
      <t xml:space="preserve">Grąžinamos negautos pajamos </t>
    </r>
    <r>
      <rPr>
        <b/>
        <sz val="8"/>
        <rFont val="Arial"/>
        <family val="2"/>
        <charset val="186"/>
      </rPr>
      <t>VBD (GNP)</t>
    </r>
  </si>
  <si>
    <r>
      <t xml:space="preserve">Valstybės biudžeto dotacija  </t>
    </r>
    <r>
      <rPr>
        <b/>
        <sz val="8"/>
        <rFont val="Arial"/>
        <family val="2"/>
      </rPr>
      <t>VBD (COVID)</t>
    </r>
  </si>
  <si>
    <t>01 SB</t>
  </si>
  <si>
    <t>03 SB</t>
  </si>
  <si>
    <t>05 SB</t>
  </si>
  <si>
    <t>07 SB</t>
  </si>
  <si>
    <t>08 SB</t>
  </si>
  <si>
    <t>09 SB</t>
  </si>
  <si>
    <t>10 SB</t>
  </si>
  <si>
    <t>Kontrolės ir audito tarnyba (01)</t>
  </si>
  <si>
    <t>Direktoriaus rezervas (01)</t>
  </si>
  <si>
    <t>Palūkanų mokėjimas (01)</t>
  </si>
  <si>
    <t>Paskolų grąžinimas (01)</t>
  </si>
  <si>
    <t>Viso SB:</t>
  </si>
  <si>
    <t>01 VF</t>
  </si>
  <si>
    <t>02 VF</t>
  </si>
  <si>
    <t>03 VF</t>
  </si>
  <si>
    <t>04 VF</t>
  </si>
  <si>
    <t>10 VF</t>
  </si>
  <si>
    <t>Viso VF:</t>
  </si>
  <si>
    <t>01 PF</t>
  </si>
  <si>
    <t>04 PF</t>
  </si>
  <si>
    <t>06 PF</t>
  </si>
  <si>
    <t>Viso PF:</t>
  </si>
  <si>
    <t>01 SL</t>
  </si>
  <si>
    <t>04 SL</t>
  </si>
  <si>
    <t>Viso SL:</t>
  </si>
  <si>
    <t>04 Kt</t>
  </si>
  <si>
    <t>08 Kt</t>
  </si>
  <si>
    <t>Viso Kt:</t>
  </si>
  <si>
    <t>01 ES</t>
  </si>
  <si>
    <t>04 ES</t>
  </si>
  <si>
    <t>06 ES</t>
  </si>
  <si>
    <t>Viso ES:</t>
  </si>
  <si>
    <t>01 BFL</t>
  </si>
  <si>
    <t>Viso BFL</t>
  </si>
  <si>
    <t>10 VB(M)</t>
  </si>
  <si>
    <t>Viso VB(M)</t>
  </si>
  <si>
    <t>01 S</t>
  </si>
  <si>
    <t>04 S</t>
  </si>
  <si>
    <t>Viso S:</t>
  </si>
  <si>
    <t>04 VB</t>
  </si>
  <si>
    <t>06 VB</t>
  </si>
  <si>
    <t>Viso VB:</t>
  </si>
  <si>
    <t>Viso SB(D) (01)</t>
  </si>
  <si>
    <t>Viso SB(P) (01)</t>
  </si>
  <si>
    <t>Viso LK (01)</t>
  </si>
  <si>
    <t>Viso LK (03)</t>
  </si>
  <si>
    <t>Viso VB® (04)</t>
  </si>
  <si>
    <t>Viso VB(L) (04)</t>
  </si>
  <si>
    <t>Viso VB(B) (08)</t>
  </si>
  <si>
    <t>Iš viso:</t>
  </si>
  <si>
    <t>Klaipėdos rajono savivaldybės strateginio veiklos plan 2022-2024 m. 
2 priedas</t>
  </si>
  <si>
    <t xml:space="preserve"> KLAIPĖDOS RAJONO SAVIVALDYBĖS STRATEGINIO VEIKLOS PLANO 2022-2024-ųjų M. PROGRAMŲ ASIGNAVIMŲ SUVESTINĖ</t>
  </si>
  <si>
    <t>Strateginio tikslo kodas</t>
  </si>
  <si>
    <t>Programos kodas</t>
  </si>
  <si>
    <t>Programos pavadinimas</t>
  </si>
  <si>
    <t>Žinių visuomenės plėtros programa</t>
  </si>
  <si>
    <t>Ekonominio konkurencingumo didinimo programa</t>
  </si>
  <si>
    <t>Aplinkos apsaugos programa</t>
  </si>
  <si>
    <t>Sveikatos apsaugos  programa</t>
  </si>
  <si>
    <t>Socialinės apsaugos ir NVO politikos programa</t>
  </si>
  <si>
    <t>Susisiekimo ir inžinerinės infrastruktūros plėtros programa</t>
  </si>
  <si>
    <t>Kultūros paveldo puoselėjimo ir kultūros paslaugų plėtros programa</t>
  </si>
  <si>
    <t>Kūno kultūros ir sporto plėtros programa</t>
  </si>
  <si>
    <t xml:space="preserve">SB </t>
  </si>
  <si>
    <t>Savivaldybės valdymo ir pagrindinių funkcijų vykdymo programa</t>
  </si>
  <si>
    <r>
      <t xml:space="preserve">Mokinio krepšelio lėšos </t>
    </r>
    <r>
      <rPr>
        <b/>
        <sz val="8"/>
        <rFont val="Arial"/>
        <family val="2"/>
        <charset val="186"/>
      </rPr>
      <t>ML</t>
    </r>
  </si>
  <si>
    <r>
      <t xml:space="preserve">Aplinkos apsaugos rėmimo specialiosios programos lėšos </t>
    </r>
    <r>
      <rPr>
        <b/>
        <sz val="8"/>
        <rFont val="Arial"/>
        <family val="2"/>
        <charset val="186"/>
      </rPr>
      <t>AA</t>
    </r>
  </si>
  <si>
    <r>
      <t xml:space="preserve">Aplinkos apsaugos rėmimo specialiosios programos lėšų likučiai (praėjusių metų) </t>
    </r>
    <r>
      <rPr>
        <b/>
        <sz val="8"/>
        <rFont val="Arial"/>
        <family val="2"/>
        <charset val="186"/>
      </rPr>
      <t>LA</t>
    </r>
  </si>
  <si>
    <r>
      <t xml:space="preserve">Pajamų už parduotą žemę praėjusių metų likučiai </t>
    </r>
    <r>
      <rPr>
        <b/>
        <sz val="8"/>
        <rFont val="Arial"/>
        <family val="2"/>
        <charset val="186"/>
      </rPr>
      <t>LŽ</t>
    </r>
  </si>
  <si>
    <r>
      <t>Lėšos už paslaugas ir nuomą praėjusių metų likučiai</t>
    </r>
    <r>
      <rPr>
        <b/>
        <sz val="8"/>
        <rFont val="Arial"/>
        <family val="2"/>
        <charset val="186"/>
      </rPr>
      <t xml:space="preserve"> LS</t>
    </r>
  </si>
  <si>
    <r>
      <t xml:space="preserve">Viršplaninės pajamos </t>
    </r>
    <r>
      <rPr>
        <b/>
        <sz val="8"/>
        <rFont val="Arial"/>
        <family val="2"/>
        <charset val="186"/>
      </rPr>
      <t>VLK</t>
    </r>
  </si>
  <si>
    <r>
      <t xml:space="preserve">VšĮ "Gargždų švara" vietinė rinkliava </t>
    </r>
    <r>
      <rPr>
        <b/>
        <sz val="8"/>
        <rFont val="Arial"/>
        <family val="2"/>
        <charset val="186"/>
      </rPr>
      <t>GŠV</t>
    </r>
  </si>
  <si>
    <r>
      <t>VšĮ "Gargždų švara" praėjusių metų likutis</t>
    </r>
    <r>
      <rPr>
        <b/>
        <sz val="8"/>
        <rFont val="Arial"/>
        <family val="2"/>
        <charset val="186"/>
      </rPr>
      <t xml:space="preserve"> LGŠV</t>
    </r>
  </si>
  <si>
    <t xml:space="preserve">IŠ VISO: </t>
  </si>
  <si>
    <t>proc.</t>
  </si>
  <si>
    <t>2022 m. strateginių tikslų ir programų išlaidų suvestinė*</t>
  </si>
  <si>
    <t>Sudaryti palankias sąlygas sumaniems ir veikliems žmonėms gyventi ir veikti Klaipėdos rajone</t>
  </si>
  <si>
    <t>Kelti rajono gyventojų gyvenimo kokybę kuriant bei palaikant saugią ir švarią aplinką</t>
  </si>
  <si>
    <t>Sveikatos apsaugos programa</t>
  </si>
  <si>
    <t>5</t>
  </si>
  <si>
    <t>Socialinės apsaugos ir NVO programa</t>
  </si>
  <si>
    <t>Puoselėti kultūrą ir kūno kultūrą rajone</t>
  </si>
  <si>
    <t>8</t>
  </si>
  <si>
    <t>Plėtoti vietos savivaldą</t>
  </si>
  <si>
    <t>25</t>
  </si>
  <si>
    <t>8.1.2.13.</t>
  </si>
  <si>
    <t>4.1.1.13</t>
  </si>
  <si>
    <t>Nutolusių saulės parkų įsigijimas</t>
  </si>
  <si>
    <t>Didinti energijos suvartojimo efektyvumą Klaipėdos rajone</t>
  </si>
  <si>
    <t xml:space="preserve">Paramos gydytojams-jauniems specialistams dalinis finansavimas </t>
  </si>
  <si>
    <r>
      <rPr>
        <b/>
        <sz val="8"/>
        <rFont val="Arial"/>
        <family val="2"/>
        <charset val="186"/>
      </rPr>
      <t>Ugdymo įstaigų modernizavimas ir plėtra</t>
    </r>
    <r>
      <rPr>
        <sz val="8"/>
        <rFont val="Arial"/>
        <family val="2"/>
        <charset val="186"/>
      </rPr>
      <t xml:space="preserve">:
</t>
    </r>
    <r>
      <rPr>
        <i/>
        <sz val="8"/>
        <rFont val="Arial"/>
        <family val="2"/>
        <charset val="186"/>
      </rPr>
      <t>- Priestato prie Plikių Ievos Labutytės pagrindinės mokyklos projektavimas ir statyba
- Darželio statyba Jurgaičių ir Juodžemių g. (Mazūriškės) sankryžoje esančiame laisvame sklype 
- Gargždų "Vaivorykštės" gimnazijos sporto aikštyno rekonstrukcija
- Gargždų "Vaivorykštės" gimnazijos pastato modernizavimo projektavimas ir įgyvendinimas
- Veiviržėnų Jurgio Šaulio gimnazijos pastato modernizavimo projektavimas</t>
    </r>
  </si>
  <si>
    <t>6.2.1.8.</t>
  </si>
  <si>
    <t>6.1.4.18.</t>
  </si>
  <si>
    <t>6.1.4.19.</t>
  </si>
  <si>
    <t>1.1.5.2.</t>
  </si>
  <si>
    <t>Lapių pagrindinės mokyklos bendrabučio ir mokyklos pastato modernizavimas</t>
  </si>
  <si>
    <t>Gerovės konsultanto modelio įdiegimas Klaipėdos r. savivaldybėje</t>
  </si>
  <si>
    <t>17</t>
  </si>
  <si>
    <t>4.1.1.14</t>
  </si>
  <si>
    <t>Asmeninės pagalbos neįgaliems asmenims organizavimo administravimas</t>
  </si>
  <si>
    <t>9.1.2.27.</t>
  </si>
  <si>
    <t>Kultūros įstaigų patalpų remontas, tarnybinių automobilių remontas, organizacinės technikos, priemonių įsigijimas, kultūros veikloms organizuoti</t>
  </si>
  <si>
    <t>Industrijos g. Rimkų k. inžinerinės infrastruktūros plėtra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</si>
</sst>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"/>
    <numFmt numFmtId="166" formatCode="0.000"/>
    <numFmt numFmtId="167" formatCode="#,##0.0"/>
    <numFmt numFmtId="168" formatCode="[$-427]yyyy\.mm\.dd"/>
    <numFmt numFmtId="169" formatCode="_-* #,##0.00\ _L_t_-;\-* #,##0.00\ _L_t_-;_-* &quot;-&quot;??\ _L_t_-;_-@_-"/>
  </numFmts>
  <fonts count="7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2"/>
      <name val="Arial"/>
      <family val="2"/>
      <charset val="186"/>
    </font>
    <font>
      <sz val="7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"/>
      <family val="2"/>
      <charset val="186"/>
    </font>
    <font>
      <b/>
      <sz val="7"/>
      <name val="Arial"/>
      <family val="2"/>
      <charset val="186"/>
    </font>
    <font>
      <sz val="8"/>
      <color rgb="FFFF000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8"/>
      <name val="Arial"/>
      <family val="2"/>
      <charset val="186"/>
    </font>
    <font>
      <sz val="7"/>
      <color rgb="FFFF0000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8"/>
      <name val="Times New Roman"/>
      <family val="1"/>
    </font>
    <font>
      <b/>
      <sz val="8"/>
      <color rgb="FF0070C0"/>
      <name val="Arial"/>
      <family val="2"/>
      <charset val="186"/>
    </font>
    <font>
      <sz val="8"/>
      <color theme="1"/>
      <name val="Arial"/>
      <family val="2"/>
    </font>
    <font>
      <i/>
      <sz val="9"/>
      <name val="Arial"/>
      <family val="2"/>
      <charset val="186"/>
    </font>
    <font>
      <b/>
      <sz val="8"/>
      <name val="Arial"/>
      <family val="2"/>
    </font>
    <font>
      <sz val="8"/>
      <color indexed="8"/>
      <name val="Calibri"/>
      <family val="2"/>
      <charset val="186"/>
    </font>
    <font>
      <b/>
      <u/>
      <sz val="12"/>
      <name val="Arial"/>
      <family val="2"/>
      <charset val="186"/>
    </font>
    <font>
      <sz val="8"/>
      <color indexed="8"/>
      <name val="Arial"/>
      <family val="2"/>
      <charset val="186"/>
    </font>
    <font>
      <sz val="7"/>
      <color indexed="8"/>
      <name val="Calibri"/>
      <family val="2"/>
      <charset val="186"/>
    </font>
    <font>
      <sz val="7"/>
      <name val="Arial"/>
      <family val="2"/>
    </font>
    <font>
      <sz val="10"/>
      <color indexed="8"/>
      <name val="Calibri"/>
      <family val="2"/>
      <charset val="186"/>
    </font>
    <font>
      <b/>
      <sz val="8"/>
      <color indexed="8"/>
      <name val="Calibri"/>
      <family val="2"/>
      <charset val="186"/>
    </font>
    <font>
      <sz val="8"/>
      <name val="Calibri"/>
      <family val="2"/>
      <charset val="186"/>
    </font>
    <font>
      <b/>
      <sz val="8"/>
      <name val="Calibri"/>
      <family val="2"/>
      <charset val="186"/>
    </font>
    <font>
      <sz val="7"/>
      <name val="Calibri"/>
      <family val="2"/>
      <charset val="186"/>
    </font>
    <font>
      <b/>
      <sz val="7"/>
      <name val="Calibri"/>
      <family val="2"/>
      <charset val="186"/>
    </font>
    <font>
      <b/>
      <sz val="7"/>
      <color indexed="8"/>
      <name val="Calibri"/>
      <family val="2"/>
      <charset val="186"/>
    </font>
    <font>
      <sz val="8"/>
      <color indexed="81"/>
      <name val="Tahoma"/>
      <family val="2"/>
      <charset val="186"/>
    </font>
    <font>
      <b/>
      <sz val="8"/>
      <name val="Arial"/>
      <family val="2"/>
      <charset val="1"/>
    </font>
    <font>
      <b/>
      <sz val="8"/>
      <color rgb="FFFF0000"/>
      <name val="Arial"/>
      <family val="2"/>
      <charset val="186"/>
    </font>
    <font>
      <sz val="8"/>
      <name val="Times New Roman Baltic"/>
      <family val="1"/>
      <charset val="186"/>
    </font>
    <font>
      <i/>
      <sz val="8"/>
      <color theme="1"/>
      <name val="Arial"/>
      <family val="2"/>
      <charset val="186"/>
    </font>
    <font>
      <b/>
      <sz val="7"/>
      <name val="Arial"/>
      <family val="2"/>
    </font>
    <font>
      <b/>
      <sz val="14"/>
      <name val="Arial"/>
      <family val="2"/>
      <charset val="186"/>
    </font>
    <font>
      <b/>
      <sz val="9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sz val="11"/>
      <name val="Calibri"/>
      <family val="2"/>
      <charset val="186"/>
    </font>
    <font>
      <sz val="8"/>
      <color rgb="FF000000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rgb="FFFF9900"/>
        <bgColor rgb="FFFFC000"/>
      </patternFill>
    </fill>
    <fill>
      <patternFill patternType="solid">
        <fgColor rgb="FF99CC00"/>
        <bgColor rgb="FF92D050"/>
      </patternFill>
    </fill>
    <fill>
      <patternFill patternType="solid">
        <fgColor rgb="FFFFCC00"/>
        <bgColor rgb="FFFFC000"/>
      </patternFill>
    </fill>
    <fill>
      <patternFill patternType="solid">
        <fgColor rgb="FFFFFF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92D050"/>
        <bgColor rgb="FF99CC00"/>
      </patternFill>
    </fill>
    <fill>
      <patternFill patternType="solid">
        <fgColor rgb="FFFF6600"/>
        <bgColor rgb="FFFF9900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00"/>
        <bgColor rgb="FF000000"/>
      </patternFill>
    </fill>
  </fills>
  <borders count="1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</borders>
  <cellStyleXfs count="62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5" fillId="20" borderId="6" applyNumberFormat="0" applyAlignment="0" applyProtection="0"/>
    <xf numFmtId="0" fontId="14" fillId="0" borderId="0" applyNumberFormat="0" applyFill="0" applyBorder="0" applyAlignment="0" applyProtection="0"/>
    <xf numFmtId="0" fontId="16" fillId="7" borderId="4" applyNumberFormat="0" applyAlignment="0" applyProtection="0"/>
    <xf numFmtId="0" fontId="17" fillId="22" borderId="0" applyNumberFormat="0" applyBorder="0" applyAlignment="0" applyProtection="0"/>
    <xf numFmtId="0" fontId="5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8" fillId="23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20" borderId="4" applyNumberFormat="0" applyAlignment="0" applyProtection="0"/>
    <xf numFmtId="0" fontId="21" fillId="0" borderId="9" applyNumberFormat="0" applyFill="0" applyAlignment="0" applyProtection="0"/>
    <xf numFmtId="0" fontId="22" fillId="0" borderId="7" applyNumberFormat="0" applyFill="0" applyAlignment="0" applyProtection="0"/>
    <xf numFmtId="0" fontId="23" fillId="21" borderId="5" applyNumberFormat="0" applyAlignment="0" applyProtection="0"/>
    <xf numFmtId="0" fontId="18" fillId="0" borderId="0"/>
    <xf numFmtId="0" fontId="18" fillId="0" borderId="0"/>
    <xf numFmtId="0" fontId="5" fillId="23" borderId="8" applyNumberFormat="0" applyFont="0" applyAlignment="0" applyProtection="0"/>
    <xf numFmtId="0" fontId="5" fillId="0" borderId="0"/>
    <xf numFmtId="0" fontId="5" fillId="0" borderId="0"/>
    <xf numFmtId="0" fontId="4" fillId="0" borderId="0"/>
    <xf numFmtId="0" fontId="35" fillId="38" borderId="0" applyNumberFormat="0" applyBorder="0" applyAlignment="0" applyProtection="0"/>
    <xf numFmtId="0" fontId="8" fillId="0" borderId="0"/>
    <xf numFmtId="0" fontId="4" fillId="0" borderId="0"/>
    <xf numFmtId="0" fontId="8" fillId="0" borderId="0"/>
    <xf numFmtId="16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9" fontId="69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</cellStyleXfs>
  <cellXfs count="4090">
    <xf numFmtId="0" fontId="0" fillId="0" borderId="0" xfId="0"/>
    <xf numFmtId="0" fontId="27" fillId="0" borderId="0" xfId="0" applyFont="1"/>
    <xf numFmtId="167" fontId="27" fillId="0" borderId="0" xfId="0" applyNumberFormat="1" applyFont="1" applyAlignment="1">
      <alignment horizontal="center"/>
    </xf>
    <xf numFmtId="167" fontId="27" fillId="0" borderId="24" xfId="0" applyNumberFormat="1" applyFont="1" applyBorder="1" applyAlignment="1">
      <alignment horizontal="center" vertical="center" textRotation="90"/>
    </xf>
    <xf numFmtId="167" fontId="27" fillId="0" borderId="24" xfId="0" applyNumberFormat="1" applyFont="1" applyBorder="1" applyAlignment="1">
      <alignment horizontal="center" vertical="center" textRotation="90" wrapText="1"/>
    </xf>
    <xf numFmtId="167" fontId="2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center"/>
    </xf>
    <xf numFmtId="0" fontId="27" fillId="0" borderId="26" xfId="0" applyFont="1" applyBorder="1" applyAlignment="1">
      <alignment horizontal="center" vertical="center" wrapText="1"/>
    </xf>
    <xf numFmtId="167" fontId="26" fillId="0" borderId="28" xfId="0" applyNumberFormat="1" applyFont="1" applyBorder="1" applyAlignment="1">
      <alignment horizontal="center" vertical="center" wrapText="1"/>
    </xf>
    <xf numFmtId="0" fontId="27" fillId="31" borderId="17" xfId="0" applyFont="1" applyFill="1" applyBorder="1" applyAlignment="1">
      <alignment horizontal="center" vertical="center" wrapText="1"/>
    </xf>
    <xf numFmtId="167" fontId="27" fillId="0" borderId="19" xfId="0" applyNumberFormat="1" applyFont="1" applyBorder="1" applyAlignment="1">
      <alignment horizontal="center" vertical="center" wrapText="1"/>
    </xf>
    <xf numFmtId="167" fontId="27" fillId="0" borderId="16" xfId="0" applyNumberFormat="1" applyFont="1" applyBorder="1" applyAlignment="1">
      <alignment horizontal="center" vertical="center" wrapText="1"/>
    </xf>
    <xf numFmtId="167" fontId="27" fillId="0" borderId="33" xfId="0" applyNumberFormat="1" applyFont="1" applyBorder="1" applyAlignment="1">
      <alignment horizontal="center" vertical="center" wrapText="1"/>
    </xf>
    <xf numFmtId="167" fontId="27" fillId="0" borderId="31" xfId="0" applyNumberFormat="1" applyFont="1" applyBorder="1" applyAlignment="1">
      <alignment horizontal="center" vertical="center" wrapText="1"/>
    </xf>
    <xf numFmtId="167" fontId="27" fillId="0" borderId="11" xfId="0" applyNumberFormat="1" applyFont="1" applyBorder="1" applyAlignment="1">
      <alignment horizontal="center" vertical="center" wrapText="1"/>
    </xf>
    <xf numFmtId="167" fontId="27" fillId="0" borderId="30" xfId="0" applyNumberFormat="1" applyFont="1" applyBorder="1" applyAlignment="1">
      <alignment horizontal="center" vertical="center" wrapText="1"/>
    </xf>
    <xf numFmtId="167" fontId="26" fillId="0" borderId="14" xfId="0" applyNumberFormat="1" applyFont="1" applyBorder="1" applyAlignment="1">
      <alignment horizontal="center" vertical="center" wrapText="1"/>
    </xf>
    <xf numFmtId="0" fontId="27" fillId="25" borderId="67" xfId="46" applyFont="1" applyFill="1" applyBorder="1" applyAlignment="1">
      <alignment horizontal="center" vertical="center" wrapText="1"/>
    </xf>
    <xf numFmtId="0" fontId="27" fillId="24" borderId="44" xfId="46" applyFont="1" applyFill="1" applyBorder="1" applyAlignment="1">
      <alignment horizontal="center" vertical="center" wrapText="1"/>
    </xf>
    <xf numFmtId="0" fontId="27" fillId="33" borderId="49" xfId="46" applyFont="1" applyFill="1" applyBorder="1" applyAlignment="1">
      <alignment horizontal="center" vertical="center" wrapText="1"/>
    </xf>
    <xf numFmtId="167" fontId="26" fillId="0" borderId="25" xfId="0" applyNumberFormat="1" applyFont="1" applyBorder="1" applyAlignment="1">
      <alignment horizontal="center" vertical="center" wrapText="1"/>
    </xf>
    <xf numFmtId="167" fontId="26" fillId="0" borderId="12" xfId="0" applyNumberFormat="1" applyFont="1" applyBorder="1" applyAlignment="1">
      <alignment horizontal="center" vertical="center" wrapText="1"/>
    </xf>
    <xf numFmtId="167" fontId="27" fillId="0" borderId="24" xfId="0" applyNumberFormat="1" applyFont="1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center" vertical="center" wrapText="1"/>
    </xf>
    <xf numFmtId="167" fontId="27" fillId="0" borderId="48" xfId="0" applyNumberFormat="1" applyFont="1" applyBorder="1" applyAlignment="1">
      <alignment horizontal="center" vertical="center" wrapText="1"/>
    </xf>
    <xf numFmtId="167" fontId="27" fillId="0" borderId="29" xfId="0" applyNumberFormat="1" applyFont="1" applyBorder="1" applyAlignment="1">
      <alignment horizontal="center" vertical="center" wrapText="1"/>
    </xf>
    <xf numFmtId="167" fontId="27" fillId="0" borderId="34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167" fontId="26" fillId="0" borderId="26" xfId="0" applyNumberFormat="1" applyFont="1" applyBorder="1" applyAlignment="1">
      <alignment horizontal="center" vertical="center" wrapText="1"/>
    </xf>
    <xf numFmtId="167" fontId="26" fillId="0" borderId="48" xfId="0" applyNumberFormat="1" applyFont="1" applyBorder="1" applyAlignment="1">
      <alignment horizontal="center" vertical="center" wrapText="1"/>
    </xf>
    <xf numFmtId="167" fontId="26" fillId="0" borderId="34" xfId="0" applyNumberFormat="1" applyFont="1" applyBorder="1" applyAlignment="1">
      <alignment horizontal="center" vertical="center" wrapText="1"/>
    </xf>
    <xf numFmtId="167" fontId="26" fillId="0" borderId="29" xfId="0" applyNumberFormat="1" applyFont="1" applyBorder="1" applyAlignment="1">
      <alignment horizontal="center" vertical="center" wrapText="1"/>
    </xf>
    <xf numFmtId="167" fontId="26" fillId="0" borderId="24" xfId="0" applyNumberFormat="1" applyFont="1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center" vertical="center" wrapText="1"/>
    </xf>
    <xf numFmtId="167" fontId="26" fillId="0" borderId="15" xfId="0" applyNumberFormat="1" applyFont="1" applyBorder="1" applyAlignment="1">
      <alignment horizontal="center" vertical="center" wrapText="1"/>
    </xf>
    <xf numFmtId="167" fontId="26" fillId="0" borderId="17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167" fontId="27" fillId="0" borderId="25" xfId="0" applyNumberFormat="1" applyFont="1" applyBorder="1" applyAlignment="1">
      <alignment horizontal="center" vertical="center" wrapText="1"/>
    </xf>
    <xf numFmtId="167" fontId="27" fillId="0" borderId="12" xfId="0" applyNumberFormat="1" applyFont="1" applyBorder="1" applyAlignment="1">
      <alignment horizontal="center" vertical="center" wrapText="1"/>
    </xf>
    <xf numFmtId="167" fontId="27" fillId="0" borderId="26" xfId="0" applyNumberFormat="1" applyFont="1" applyBorder="1" applyAlignment="1">
      <alignment horizontal="center" vertical="center" wrapText="1"/>
    </xf>
    <xf numFmtId="167" fontId="27" fillId="0" borderId="14" xfId="0" applyNumberFormat="1" applyFont="1" applyBorder="1" applyAlignment="1">
      <alignment horizontal="center" vertical="center" wrapText="1"/>
    </xf>
    <xf numFmtId="167" fontId="27" fillId="0" borderId="28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7" fontId="27" fillId="0" borderId="27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7" fontId="26" fillId="0" borderId="81" xfId="0" applyNumberFormat="1" applyFont="1" applyBorder="1" applyAlignment="1">
      <alignment horizontal="center" vertical="center" wrapText="1"/>
    </xf>
    <xf numFmtId="167" fontId="26" fillId="0" borderId="18" xfId="0" applyNumberFormat="1" applyFont="1" applyBorder="1" applyAlignment="1">
      <alignment horizontal="center" vertical="center" wrapText="1"/>
    </xf>
    <xf numFmtId="167" fontId="26" fillId="0" borderId="46" xfId="0" applyNumberFormat="1" applyFont="1" applyBorder="1" applyAlignment="1">
      <alignment horizontal="center" vertical="center" wrapText="1"/>
    </xf>
    <xf numFmtId="167" fontId="26" fillId="0" borderId="36" xfId="0" applyNumberFormat="1" applyFont="1" applyBorder="1" applyAlignment="1">
      <alignment horizontal="center" vertical="center" wrapText="1"/>
    </xf>
    <xf numFmtId="167" fontId="27" fillId="0" borderId="25" xfId="0" applyNumberFormat="1" applyFont="1" applyBorder="1" applyAlignment="1">
      <alignment horizontal="center" vertical="center"/>
    </xf>
    <xf numFmtId="167" fontId="27" fillId="0" borderId="12" xfId="0" applyNumberFormat="1" applyFont="1" applyBorder="1" applyAlignment="1">
      <alignment horizontal="center" vertical="center"/>
    </xf>
    <xf numFmtId="167" fontId="27" fillId="0" borderId="26" xfId="0" applyNumberFormat="1" applyFont="1" applyBorder="1" applyAlignment="1">
      <alignment horizontal="center" vertical="center"/>
    </xf>
    <xf numFmtId="167" fontId="27" fillId="0" borderId="31" xfId="0" applyNumberFormat="1" applyFont="1" applyBorder="1" applyAlignment="1">
      <alignment horizontal="center" vertical="center"/>
    </xf>
    <xf numFmtId="167" fontId="27" fillId="0" borderId="26" xfId="46" applyNumberFormat="1" applyFont="1" applyBorder="1" applyAlignment="1">
      <alignment horizontal="center" vertical="center"/>
    </xf>
    <xf numFmtId="167" fontId="27" fillId="0" borderId="71" xfId="46" applyNumberFormat="1" applyFont="1" applyBorder="1" applyAlignment="1">
      <alignment horizontal="center" vertical="center"/>
    </xf>
    <xf numFmtId="167" fontId="28" fillId="31" borderId="14" xfId="46" applyNumberFormat="1" applyFont="1" applyFill="1" applyBorder="1" applyAlignment="1">
      <alignment horizontal="center" vertical="center"/>
    </xf>
    <xf numFmtId="167" fontId="27" fillId="0" borderId="41" xfId="46" applyNumberFormat="1" applyFont="1" applyBorder="1" applyAlignment="1">
      <alignment horizontal="center" vertical="center"/>
    </xf>
    <xf numFmtId="167" fontId="27" fillId="0" borderId="42" xfId="46" applyNumberFormat="1" applyFont="1" applyBorder="1" applyAlignment="1">
      <alignment horizontal="center" vertical="center"/>
    </xf>
    <xf numFmtId="167" fontId="27" fillId="0" borderId="43" xfId="46" applyNumberFormat="1" applyFont="1" applyBorder="1" applyAlignment="1">
      <alignment horizontal="center" vertical="center"/>
    </xf>
    <xf numFmtId="167" fontId="27" fillId="0" borderId="54" xfId="46" applyNumberFormat="1" applyFont="1" applyBorder="1" applyAlignment="1">
      <alignment horizontal="center" vertical="center"/>
    </xf>
    <xf numFmtId="167" fontId="41" fillId="31" borderId="25" xfId="46" applyNumberFormat="1" applyFont="1" applyFill="1" applyBorder="1" applyAlignment="1">
      <alignment horizontal="center" vertical="center"/>
    </xf>
    <xf numFmtId="167" fontId="41" fillId="31" borderId="12" xfId="46" applyNumberFormat="1" applyFont="1" applyFill="1" applyBorder="1" applyAlignment="1">
      <alignment horizontal="center" vertical="center"/>
    </xf>
    <xf numFmtId="167" fontId="41" fillId="31" borderId="26" xfId="46" applyNumberFormat="1" applyFont="1" applyFill="1" applyBorder="1" applyAlignment="1">
      <alignment horizontal="center" vertical="center"/>
    </xf>
    <xf numFmtId="167" fontId="27" fillId="0" borderId="12" xfId="46" applyNumberFormat="1" applyFont="1" applyBorder="1" applyAlignment="1">
      <alignment horizontal="center" vertical="center"/>
    </xf>
    <xf numFmtId="167" fontId="41" fillId="31" borderId="11" xfId="46" applyNumberFormat="1" applyFont="1" applyFill="1" applyBorder="1" applyAlignment="1">
      <alignment horizontal="center" vertical="center"/>
    </xf>
    <xf numFmtId="167" fontId="41" fillId="31" borderId="14" xfId="46" applyNumberFormat="1" applyFont="1" applyFill="1" applyBorder="1" applyAlignment="1">
      <alignment horizontal="center" vertical="center"/>
    </xf>
    <xf numFmtId="167" fontId="41" fillId="31" borderId="28" xfId="46" applyNumberFormat="1" applyFont="1" applyFill="1" applyBorder="1" applyAlignment="1">
      <alignment horizontal="center" vertical="center"/>
    </xf>
    <xf numFmtId="167" fontId="27" fillId="0" borderId="14" xfId="46" applyNumberFormat="1" applyFont="1" applyBorder="1" applyAlignment="1">
      <alignment horizontal="center" vertical="center"/>
    </xf>
    <xf numFmtId="167" fontId="27" fillId="0" borderId="28" xfId="46" applyNumberFormat="1" applyFont="1" applyBorder="1" applyAlignment="1">
      <alignment horizontal="center" vertical="center"/>
    </xf>
    <xf numFmtId="167" fontId="41" fillId="31" borderId="48" xfId="46" applyNumberFormat="1" applyFont="1" applyFill="1" applyBorder="1" applyAlignment="1">
      <alignment horizontal="center" vertical="center"/>
    </xf>
    <xf numFmtId="167" fontId="41" fillId="31" borderId="29" xfId="46" applyNumberFormat="1" applyFont="1" applyFill="1" applyBorder="1" applyAlignment="1">
      <alignment horizontal="center" vertical="center"/>
    </xf>
    <xf numFmtId="167" fontId="41" fillId="31" borderId="34" xfId="46" applyNumberFormat="1" applyFont="1" applyFill="1" applyBorder="1" applyAlignment="1">
      <alignment horizontal="center" vertical="center"/>
    </xf>
    <xf numFmtId="167" fontId="27" fillId="0" borderId="29" xfId="46" applyNumberFormat="1" applyFont="1" applyBorder="1" applyAlignment="1">
      <alignment horizontal="center" vertical="center"/>
    </xf>
    <xf numFmtId="167" fontId="27" fillId="0" borderId="34" xfId="46" applyNumberFormat="1" applyFont="1" applyBorder="1" applyAlignment="1">
      <alignment horizontal="center" vertical="center"/>
    </xf>
    <xf numFmtId="167" fontId="27" fillId="31" borderId="56" xfId="46" applyNumberFormat="1" applyFont="1" applyFill="1" applyBorder="1" applyAlignment="1">
      <alignment horizontal="center" vertical="center"/>
    </xf>
    <xf numFmtId="167" fontId="27" fillId="31" borderId="41" xfId="46" applyNumberFormat="1" applyFont="1" applyFill="1" applyBorder="1" applyAlignment="1">
      <alignment horizontal="center" vertical="center"/>
    </xf>
    <xf numFmtId="167" fontId="27" fillId="0" borderId="54" xfId="46" applyNumberFormat="1" applyFont="1" applyBorder="1" applyAlignment="1">
      <alignment vertical="center"/>
    </xf>
    <xf numFmtId="167" fontId="27" fillId="0" borderId="42" xfId="46" applyNumberFormat="1" applyFont="1" applyBorder="1" applyAlignment="1">
      <alignment vertical="center"/>
    </xf>
    <xf numFmtId="167" fontId="27" fillId="0" borderId="43" xfId="46" applyNumberFormat="1" applyFont="1" applyBorder="1" applyAlignment="1">
      <alignment vertical="center"/>
    </xf>
    <xf numFmtId="0" fontId="27" fillId="0" borderId="50" xfId="46" applyFont="1" applyBorder="1" applyAlignment="1">
      <alignment horizontal="center" vertical="center"/>
    </xf>
    <xf numFmtId="167" fontId="27" fillId="32" borderId="37" xfId="46" applyNumberFormat="1" applyFont="1" applyFill="1" applyBorder="1" applyAlignment="1">
      <alignment horizontal="center" vertical="center"/>
    </xf>
    <xf numFmtId="167" fontId="27" fillId="32" borderId="55" xfId="46" applyNumberFormat="1" applyFont="1" applyFill="1" applyBorder="1" applyAlignment="1">
      <alignment horizontal="center" vertical="center"/>
    </xf>
    <xf numFmtId="167" fontId="27" fillId="32" borderId="71" xfId="46" applyNumberFormat="1" applyFont="1" applyFill="1" applyBorder="1" applyAlignment="1">
      <alignment horizontal="center" vertical="center"/>
    </xf>
    <xf numFmtId="167" fontId="27" fillId="31" borderId="74" xfId="46" applyNumberFormat="1" applyFont="1" applyFill="1" applyBorder="1" applyAlignment="1">
      <alignment horizontal="center" vertical="center"/>
    </xf>
    <xf numFmtId="167" fontId="27" fillId="31" borderId="38" xfId="46" applyNumberFormat="1" applyFont="1" applyFill="1" applyBorder="1" applyAlignment="1">
      <alignment horizontal="center" vertical="center"/>
    </xf>
    <xf numFmtId="167" fontId="27" fillId="31" borderId="43" xfId="46" applyNumberFormat="1" applyFont="1" applyFill="1" applyBorder="1" applyAlignment="1">
      <alignment horizontal="center" vertical="center"/>
    </xf>
    <xf numFmtId="167" fontId="27" fillId="32" borderId="64" xfId="46" applyNumberFormat="1" applyFont="1" applyFill="1" applyBorder="1" applyAlignment="1">
      <alignment horizontal="center" vertical="center"/>
    </xf>
    <xf numFmtId="167" fontId="27" fillId="32" borderId="74" xfId="46" applyNumberFormat="1" applyFont="1" applyFill="1" applyBorder="1" applyAlignment="1">
      <alignment horizontal="center" vertical="center"/>
    </xf>
    <xf numFmtId="167" fontId="27" fillId="32" borderId="63" xfId="46" applyNumberFormat="1" applyFont="1" applyFill="1" applyBorder="1" applyAlignment="1">
      <alignment horizontal="center" vertical="center"/>
    </xf>
    <xf numFmtId="167" fontId="27" fillId="32" borderId="70" xfId="46" applyNumberFormat="1" applyFont="1" applyFill="1" applyBorder="1" applyAlignment="1">
      <alignment horizontal="center" vertical="center"/>
    </xf>
    <xf numFmtId="167" fontId="27" fillId="0" borderId="16" xfId="0" applyNumberFormat="1" applyFont="1" applyBorder="1" applyAlignment="1">
      <alignment horizontal="center" vertical="center"/>
    </xf>
    <xf numFmtId="167" fontId="27" fillId="0" borderId="27" xfId="0" applyNumberFormat="1" applyFont="1" applyBorder="1" applyAlignment="1">
      <alignment horizontal="center" vertical="center"/>
    </xf>
    <xf numFmtId="167" fontId="27" fillId="0" borderId="30" xfId="0" applyNumberFormat="1" applyFont="1" applyBorder="1" applyAlignment="1">
      <alignment horizontal="center" vertical="center"/>
    </xf>
    <xf numFmtId="167" fontId="27" fillId="0" borderId="19" xfId="0" applyNumberFormat="1" applyFont="1" applyBorder="1" applyAlignment="1">
      <alignment horizontal="center" vertical="center"/>
    </xf>
    <xf numFmtId="167" fontId="27" fillId="0" borderId="14" xfId="0" applyNumberFormat="1" applyFont="1" applyBorder="1" applyAlignment="1">
      <alignment horizontal="center" vertical="center"/>
    </xf>
    <xf numFmtId="167" fontId="27" fillId="0" borderId="28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31" borderId="0" xfId="46" applyFont="1" applyFill="1"/>
    <xf numFmtId="167" fontId="26" fillId="0" borderId="25" xfId="0" applyNumberFormat="1" applyFont="1" applyBorder="1" applyAlignment="1">
      <alignment horizontal="center" vertical="center"/>
    </xf>
    <xf numFmtId="167" fontId="26" fillId="0" borderId="12" xfId="0" applyNumberFormat="1" applyFont="1" applyBorder="1" applyAlignment="1">
      <alignment horizontal="center" vertical="center"/>
    </xf>
    <xf numFmtId="167" fontId="26" fillId="0" borderId="11" xfId="0" applyNumberFormat="1" applyFont="1" applyBorder="1" applyAlignment="1">
      <alignment horizontal="center" vertical="center"/>
    </xf>
    <xf numFmtId="167" fontId="26" fillId="0" borderId="14" xfId="0" applyNumberFormat="1" applyFont="1" applyBorder="1" applyAlignment="1">
      <alignment horizontal="center" vertical="center"/>
    </xf>
    <xf numFmtId="167" fontId="26" fillId="0" borderId="17" xfId="0" applyNumberFormat="1" applyFont="1" applyBorder="1" applyAlignment="1">
      <alignment horizontal="center" vertical="center"/>
    </xf>
    <xf numFmtId="167" fontId="26" fillId="0" borderId="28" xfId="0" applyNumberFormat="1" applyFont="1" applyBorder="1" applyAlignment="1">
      <alignment horizontal="center" vertical="center"/>
    </xf>
    <xf numFmtId="167" fontId="26" fillId="0" borderId="18" xfId="0" applyNumberFormat="1" applyFont="1" applyBorder="1" applyAlignment="1">
      <alignment horizontal="center" vertical="center"/>
    </xf>
    <xf numFmtId="167" fontId="26" fillId="0" borderId="15" xfId="0" applyNumberFormat="1" applyFont="1" applyBorder="1" applyAlignment="1">
      <alignment horizontal="center" vertical="center"/>
    </xf>
    <xf numFmtId="167" fontId="26" fillId="0" borderId="24" xfId="0" applyNumberFormat="1" applyFont="1" applyBorder="1" applyAlignment="1">
      <alignment horizontal="center" vertical="center"/>
    </xf>
    <xf numFmtId="167" fontId="26" fillId="0" borderId="20" xfId="0" applyNumberFormat="1" applyFont="1" applyBorder="1" applyAlignment="1">
      <alignment horizontal="center" vertical="center"/>
    </xf>
    <xf numFmtId="167" fontId="26" fillId="0" borderId="55" xfId="0" applyNumberFormat="1" applyFont="1" applyBorder="1" applyAlignment="1">
      <alignment horizontal="center" vertical="center"/>
    </xf>
    <xf numFmtId="167" fontId="26" fillId="0" borderId="71" xfId="0" applyNumberFormat="1" applyFont="1" applyBorder="1" applyAlignment="1">
      <alignment horizontal="center" vertical="center"/>
    </xf>
    <xf numFmtId="167" fontId="26" fillId="0" borderId="70" xfId="0" applyNumberFormat="1" applyFont="1" applyBorder="1" applyAlignment="1">
      <alignment horizontal="center" vertical="center"/>
    </xf>
    <xf numFmtId="167" fontId="26" fillId="0" borderId="41" xfId="0" applyNumberFormat="1" applyFont="1" applyBorder="1" applyAlignment="1">
      <alignment horizontal="center" vertical="center"/>
    </xf>
    <xf numFmtId="167" fontId="26" fillId="0" borderId="42" xfId="0" applyNumberFormat="1" applyFont="1" applyBorder="1" applyAlignment="1">
      <alignment horizontal="center" vertical="center"/>
    </xf>
    <xf numFmtId="167" fontId="26" fillId="0" borderId="43" xfId="0" applyNumberFormat="1" applyFont="1" applyBorder="1" applyAlignment="1">
      <alignment horizontal="center" vertical="center"/>
    </xf>
    <xf numFmtId="0" fontId="27" fillId="0" borderId="0" xfId="50" applyFont="1"/>
    <xf numFmtId="0" fontId="27" fillId="42" borderId="0" xfId="50" applyFont="1" applyFill="1"/>
    <xf numFmtId="0" fontId="27" fillId="43" borderId="0" xfId="50" applyFont="1" applyFill="1"/>
    <xf numFmtId="167" fontId="27" fillId="0" borderId="0" xfId="50" applyNumberFormat="1" applyFont="1"/>
    <xf numFmtId="0" fontId="27" fillId="0" borderId="36" xfId="50" applyFont="1" applyBorder="1"/>
    <xf numFmtId="0" fontId="26" fillId="0" borderId="0" xfId="50" applyFont="1"/>
    <xf numFmtId="0" fontId="26" fillId="44" borderId="0" xfId="50" applyFont="1" applyFill="1"/>
    <xf numFmtId="0" fontId="26" fillId="28" borderId="0" xfId="50" applyFont="1" applyFill="1"/>
    <xf numFmtId="0" fontId="25" fillId="0" borderId="0" xfId="50" applyFont="1" applyAlignment="1">
      <alignment horizontal="center" vertical="center"/>
    </xf>
    <xf numFmtId="167" fontId="27" fillId="0" borderId="12" xfId="46" applyNumberFormat="1" applyFont="1" applyBorder="1" applyAlignment="1" applyProtection="1">
      <alignment horizontal="center" vertical="center" wrapText="1"/>
      <protection locked="0"/>
    </xf>
    <xf numFmtId="167" fontId="27" fillId="0" borderId="31" xfId="46" applyNumberFormat="1" applyFont="1" applyBorder="1" applyAlignment="1" applyProtection="1">
      <alignment horizontal="center" vertical="center" wrapText="1"/>
      <protection locked="0"/>
    </xf>
    <xf numFmtId="167" fontId="27" fillId="0" borderId="14" xfId="46" applyNumberFormat="1" applyFont="1" applyBorder="1" applyAlignment="1" applyProtection="1">
      <alignment horizontal="center" vertical="center" wrapText="1"/>
      <protection locked="0"/>
    </xf>
    <xf numFmtId="167" fontId="27" fillId="0" borderId="35" xfId="46" applyNumberFormat="1" applyFont="1" applyBorder="1" applyAlignment="1" applyProtection="1">
      <alignment horizontal="center" vertical="center" wrapText="1"/>
      <protection locked="0"/>
    </xf>
    <xf numFmtId="167" fontId="27" fillId="0" borderId="26" xfId="46" applyNumberFormat="1" applyFont="1" applyBorder="1" applyAlignment="1" applyProtection="1">
      <alignment horizontal="center" vertical="center" wrapText="1"/>
      <protection locked="0"/>
    </xf>
    <xf numFmtId="167" fontId="27" fillId="0" borderId="0" xfId="46" applyNumberFormat="1" applyFont="1" applyAlignment="1" applyProtection="1">
      <alignment horizontal="center" vertical="center" wrapText="1"/>
      <protection locked="0"/>
    </xf>
    <xf numFmtId="167" fontId="27" fillId="31" borderId="14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17" xfId="46" applyNumberFormat="1" applyFont="1" applyBorder="1" applyAlignment="1" applyProtection="1">
      <alignment horizontal="center" vertical="center" wrapText="1"/>
      <protection locked="0"/>
    </xf>
    <xf numFmtId="167" fontId="27" fillId="0" borderId="28" xfId="46" applyNumberFormat="1" applyFont="1" applyBorder="1" applyAlignment="1" applyProtection="1">
      <alignment horizontal="center" vertical="center" wrapText="1"/>
      <protection locked="0"/>
    </xf>
    <xf numFmtId="167" fontId="27" fillId="31" borderId="12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26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28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20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24" xfId="46" applyNumberFormat="1" applyFont="1" applyBorder="1" applyAlignment="1" applyProtection="1">
      <alignment horizontal="center" vertical="center" wrapText="1"/>
      <protection locked="0"/>
    </xf>
    <xf numFmtId="167" fontId="27" fillId="0" borderId="20" xfId="46" applyNumberFormat="1" applyFont="1" applyBorder="1" applyAlignment="1" applyProtection="1">
      <alignment horizontal="center" vertical="center" wrapText="1"/>
      <protection locked="0"/>
    </xf>
    <xf numFmtId="167" fontId="27" fillId="31" borderId="24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48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29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34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48" xfId="46" applyNumberFormat="1" applyFont="1" applyBorder="1" applyAlignment="1" applyProtection="1">
      <alignment horizontal="center" vertical="center" wrapText="1"/>
      <protection locked="0"/>
    </xf>
    <xf numFmtId="167" fontId="27" fillId="0" borderId="29" xfId="46" applyNumberFormat="1" applyFont="1" applyBorder="1" applyAlignment="1" applyProtection="1">
      <alignment horizontal="center" vertical="center" wrapText="1"/>
      <protection locked="0"/>
    </xf>
    <xf numFmtId="167" fontId="27" fillId="0" borderId="34" xfId="46" applyNumberFormat="1" applyFont="1" applyBorder="1" applyAlignment="1" applyProtection="1">
      <alignment horizontal="center" vertical="center" wrapText="1"/>
      <protection locked="0"/>
    </xf>
    <xf numFmtId="167" fontId="27" fillId="0" borderId="19" xfId="46" applyNumberFormat="1" applyFont="1" applyBorder="1" applyAlignment="1" applyProtection="1">
      <alignment horizontal="center" vertical="center" wrapText="1"/>
      <protection locked="0"/>
    </xf>
    <xf numFmtId="167" fontId="27" fillId="0" borderId="59" xfId="46" applyNumberFormat="1" applyFont="1" applyBorder="1" applyAlignment="1" applyProtection="1">
      <alignment horizontal="center" vertical="center" wrapText="1"/>
      <protection locked="0"/>
    </xf>
    <xf numFmtId="167" fontId="27" fillId="0" borderId="23" xfId="46" applyNumberFormat="1" applyFont="1" applyBorder="1" applyAlignment="1" applyProtection="1">
      <alignment horizontal="center" vertical="center" wrapText="1"/>
      <protection locked="0"/>
    </xf>
    <xf numFmtId="165" fontId="27" fillId="0" borderId="25" xfId="46" applyNumberFormat="1" applyFont="1" applyBorder="1" applyAlignment="1">
      <alignment horizontal="center" vertical="center"/>
    </xf>
    <xf numFmtId="165" fontId="27" fillId="0" borderId="12" xfId="46" applyNumberFormat="1" applyFont="1" applyBorder="1" applyAlignment="1">
      <alignment horizontal="center" vertical="center"/>
    </xf>
    <xf numFmtId="165" fontId="27" fillId="0" borderId="31" xfId="46" applyNumberFormat="1" applyFont="1" applyBorder="1" applyAlignment="1">
      <alignment horizontal="center" vertical="center"/>
    </xf>
    <xf numFmtId="167" fontId="0" fillId="0" borderId="0" xfId="0" applyNumberFormat="1"/>
    <xf numFmtId="167" fontId="26" fillId="0" borderId="25" xfId="0" applyNumberFormat="1" applyFont="1" applyBorder="1" applyAlignment="1" applyProtection="1">
      <alignment horizontal="center" vertical="center" wrapText="1"/>
      <protection locked="0"/>
    </xf>
    <xf numFmtId="167" fontId="26" fillId="0" borderId="12" xfId="0" applyNumberFormat="1" applyFont="1" applyBorder="1" applyAlignment="1" applyProtection="1">
      <alignment horizontal="center" vertical="center" wrapText="1"/>
      <protection locked="0"/>
    </xf>
    <xf numFmtId="167" fontId="26" fillId="0" borderId="11" xfId="0" applyNumberFormat="1" applyFont="1" applyBorder="1" applyAlignment="1" applyProtection="1">
      <alignment horizontal="center" vertical="center" wrapText="1"/>
      <protection locked="0"/>
    </xf>
    <xf numFmtId="167" fontId="26" fillId="0" borderId="14" xfId="0" applyNumberFormat="1" applyFont="1" applyBorder="1" applyAlignment="1" applyProtection="1">
      <alignment horizontal="center" vertical="center" wrapText="1"/>
      <protection locked="0"/>
    </xf>
    <xf numFmtId="167" fontId="26" fillId="0" borderId="28" xfId="0" applyNumberFormat="1" applyFont="1" applyBorder="1" applyAlignment="1" applyProtection="1">
      <alignment horizontal="center" vertical="center" wrapText="1"/>
      <protection locked="0"/>
    </xf>
    <xf numFmtId="167" fontId="26" fillId="0" borderId="58" xfId="0" applyNumberFormat="1" applyFont="1" applyBorder="1" applyAlignment="1" applyProtection="1">
      <alignment horizontal="center" vertical="center" wrapText="1"/>
      <protection locked="0"/>
    </xf>
    <xf numFmtId="167" fontId="26" fillId="0" borderId="15" xfId="0" applyNumberFormat="1" applyFont="1" applyBorder="1" applyAlignment="1" applyProtection="1">
      <alignment horizontal="center" vertical="center" wrapText="1"/>
      <protection locked="0"/>
    </xf>
    <xf numFmtId="167" fontId="26" fillId="0" borderId="16" xfId="0" applyNumberFormat="1" applyFont="1" applyBorder="1" applyAlignment="1" applyProtection="1">
      <alignment horizontal="center" vertical="center" wrapText="1"/>
      <protection locked="0"/>
    </xf>
    <xf numFmtId="167" fontId="26" fillId="0" borderId="55" xfId="0" applyNumberFormat="1" applyFont="1" applyBorder="1" applyAlignment="1" applyProtection="1">
      <alignment horizontal="center" vertical="center" wrapText="1"/>
      <protection locked="0"/>
    </xf>
    <xf numFmtId="167" fontId="26" fillId="0" borderId="71" xfId="0" applyNumberFormat="1" applyFont="1" applyBorder="1" applyAlignment="1" applyProtection="1">
      <alignment horizontal="center" vertical="center" wrapText="1"/>
      <protection locked="0"/>
    </xf>
    <xf numFmtId="167" fontId="51" fillId="0" borderId="0" xfId="50" applyNumberFormat="1" applyFont="1"/>
    <xf numFmtId="0" fontId="53" fillId="0" borderId="0" xfId="50" applyFont="1" applyAlignment="1">
      <alignment horizontal="center"/>
    </xf>
    <xf numFmtId="0" fontId="53" fillId="0" borderId="0" xfId="50" applyFont="1" applyAlignment="1">
      <alignment horizontal="left"/>
    </xf>
    <xf numFmtId="0" fontId="53" fillId="0" borderId="0" xfId="50" applyFont="1"/>
    <xf numFmtId="168" fontId="27" fillId="0" borderId="0" xfId="0" applyNumberFormat="1" applyFont="1" applyAlignment="1">
      <alignment horizontal="center" vertical="center"/>
    </xf>
    <xf numFmtId="0" fontId="26" fillId="0" borderId="0" xfId="0" applyFont="1"/>
    <xf numFmtId="167" fontId="5" fillId="0" borderId="0" xfId="0" applyNumberFormat="1" applyFont="1" applyAlignment="1">
      <alignment vertical="top" wrapText="1"/>
    </xf>
    <xf numFmtId="0" fontId="27" fillId="47" borderId="57" xfId="0" applyFont="1" applyFill="1" applyBorder="1" applyAlignment="1">
      <alignment horizontal="center" vertical="center" wrapText="1"/>
    </xf>
    <xf numFmtId="0" fontId="27" fillId="47" borderId="82" xfId="0" applyFont="1" applyFill="1" applyBorder="1" applyAlignment="1">
      <alignment horizontal="center" vertical="center" wrapText="1"/>
    </xf>
    <xf numFmtId="0" fontId="27" fillId="48" borderId="26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167" fontId="27" fillId="49" borderId="41" xfId="0" applyNumberFormat="1" applyFont="1" applyFill="1" applyBorder="1" applyAlignment="1">
      <alignment horizontal="center" vertical="center"/>
    </xf>
    <xf numFmtId="167" fontId="27" fillId="49" borderId="42" xfId="0" applyNumberFormat="1" applyFont="1" applyFill="1" applyBorder="1" applyAlignment="1">
      <alignment horizontal="center" vertical="center"/>
    </xf>
    <xf numFmtId="167" fontId="27" fillId="49" borderId="43" xfId="0" applyNumberFormat="1" applyFont="1" applyFill="1" applyBorder="1" applyAlignment="1">
      <alignment horizontal="center" vertical="center"/>
    </xf>
    <xf numFmtId="0" fontId="27" fillId="47" borderId="15" xfId="0" applyFont="1" applyFill="1" applyBorder="1" applyAlignment="1">
      <alignment horizontal="center" vertical="center"/>
    </xf>
    <xf numFmtId="0" fontId="27" fillId="48" borderId="20" xfId="0" applyFont="1" applyFill="1" applyBorder="1" applyAlignment="1">
      <alignment horizontal="center" vertical="center"/>
    </xf>
    <xf numFmtId="167" fontId="27" fillId="48" borderId="70" xfId="0" applyNumberFormat="1" applyFont="1" applyFill="1" applyBorder="1" applyAlignment="1">
      <alignment horizontal="center" vertical="center"/>
    </xf>
    <xf numFmtId="167" fontId="27" fillId="48" borderId="55" xfId="0" applyNumberFormat="1" applyFont="1" applyFill="1" applyBorder="1" applyAlignment="1">
      <alignment horizontal="center" vertical="center"/>
    </xf>
    <xf numFmtId="167" fontId="27" fillId="48" borderId="71" xfId="0" applyNumberFormat="1" applyFont="1" applyFill="1" applyBorder="1" applyAlignment="1">
      <alignment horizontal="center" vertical="center"/>
    </xf>
    <xf numFmtId="0" fontId="27" fillId="48" borderId="17" xfId="0" applyFont="1" applyFill="1" applyBorder="1" applyAlignment="1">
      <alignment horizontal="center" vertical="center"/>
    </xf>
    <xf numFmtId="167" fontId="27" fillId="49" borderId="64" xfId="0" applyNumberFormat="1" applyFont="1" applyFill="1" applyBorder="1" applyAlignment="1">
      <alignment horizontal="center" vertical="center"/>
    </xf>
    <xf numFmtId="167" fontId="27" fillId="49" borderId="55" xfId="0" applyNumberFormat="1" applyFont="1" applyFill="1" applyBorder="1" applyAlignment="1">
      <alignment horizontal="center" vertical="center"/>
    </xf>
    <xf numFmtId="167" fontId="27" fillId="49" borderId="71" xfId="0" applyNumberFormat="1" applyFont="1" applyFill="1" applyBorder="1" applyAlignment="1">
      <alignment horizontal="center" vertical="center"/>
    </xf>
    <xf numFmtId="0" fontId="27" fillId="50" borderId="17" xfId="0" applyFont="1" applyFill="1" applyBorder="1" applyAlignment="1">
      <alignment horizontal="center" vertical="center" wrapText="1"/>
    </xf>
    <xf numFmtId="167" fontId="27" fillId="49" borderId="41" xfId="0" applyNumberFormat="1" applyFont="1" applyFill="1" applyBorder="1" applyAlignment="1">
      <alignment horizontal="center" vertical="center" wrapText="1"/>
    </xf>
    <xf numFmtId="167" fontId="27" fillId="49" borderId="42" xfId="0" applyNumberFormat="1" applyFont="1" applyFill="1" applyBorder="1" applyAlignment="1">
      <alignment horizontal="center" vertical="center" wrapText="1"/>
    </xf>
    <xf numFmtId="167" fontId="27" fillId="49" borderId="43" xfId="0" applyNumberFormat="1" applyFont="1" applyFill="1" applyBorder="1" applyAlignment="1">
      <alignment horizontal="center" vertical="center" wrapText="1"/>
    </xf>
    <xf numFmtId="167" fontId="27" fillId="0" borderId="79" xfId="0" applyNumberFormat="1" applyFont="1" applyBorder="1" applyAlignment="1">
      <alignment horizontal="center" vertical="center" wrapText="1"/>
    </xf>
    <xf numFmtId="167" fontId="27" fillId="48" borderId="41" xfId="0" applyNumberFormat="1" applyFont="1" applyFill="1" applyBorder="1" applyAlignment="1">
      <alignment horizontal="center" vertical="center"/>
    </xf>
    <xf numFmtId="167" fontId="27" fillId="48" borderId="42" xfId="0" applyNumberFormat="1" applyFont="1" applyFill="1" applyBorder="1" applyAlignment="1">
      <alignment horizontal="center" vertical="center"/>
    </xf>
    <xf numFmtId="167" fontId="27" fillId="48" borderId="43" xfId="0" applyNumberFormat="1" applyFont="1" applyFill="1" applyBorder="1" applyAlignment="1">
      <alignment horizontal="center" vertical="center"/>
    </xf>
    <xf numFmtId="0" fontId="27" fillId="47" borderId="21" xfId="0" applyFont="1" applyFill="1" applyBorder="1" applyAlignment="1">
      <alignment horizontal="center" vertical="center"/>
    </xf>
    <xf numFmtId="167" fontId="27" fillId="47" borderId="41" xfId="0" applyNumberFormat="1" applyFont="1" applyFill="1" applyBorder="1" applyAlignment="1">
      <alignment horizontal="center" vertical="center"/>
    </xf>
    <xf numFmtId="167" fontId="27" fillId="47" borderId="42" xfId="0" applyNumberFormat="1" applyFont="1" applyFill="1" applyBorder="1" applyAlignment="1">
      <alignment horizontal="center" vertical="center"/>
    </xf>
    <xf numFmtId="167" fontId="27" fillId="47" borderId="43" xfId="0" applyNumberFormat="1" applyFont="1" applyFill="1" applyBorder="1" applyAlignment="1">
      <alignment horizontal="center" vertical="center"/>
    </xf>
    <xf numFmtId="0" fontId="27" fillId="47" borderId="18" xfId="0" applyFont="1" applyFill="1" applyBorder="1" applyAlignment="1">
      <alignment horizontal="center" vertical="center"/>
    </xf>
    <xf numFmtId="0" fontId="27" fillId="48" borderId="10" xfId="0" applyFont="1" applyFill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167" fontId="27" fillId="49" borderId="39" xfId="0" applyNumberFormat="1" applyFont="1" applyFill="1" applyBorder="1" applyAlignment="1">
      <alignment horizontal="center" vertical="center"/>
    </xf>
    <xf numFmtId="167" fontId="27" fillId="49" borderId="54" xfId="0" applyNumberFormat="1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vertical="center" wrapText="1"/>
    </xf>
    <xf numFmtId="0" fontId="27" fillId="51" borderId="77" xfId="0" applyFont="1" applyFill="1" applyBorder="1" applyAlignment="1">
      <alignment horizontal="center" vertical="center"/>
    </xf>
    <xf numFmtId="49" fontId="26" fillId="54" borderId="53" xfId="0" applyNumberFormat="1" applyFont="1" applyFill="1" applyBorder="1" applyAlignment="1">
      <alignment horizontal="right" vertical="center" wrapText="1"/>
    </xf>
    <xf numFmtId="167" fontId="26" fillId="54" borderId="49" xfId="0" applyNumberFormat="1" applyFont="1" applyFill="1" applyBorder="1" applyAlignment="1">
      <alignment horizontal="center" vertical="center"/>
    </xf>
    <xf numFmtId="167" fontId="26" fillId="54" borderId="13" xfId="0" applyNumberFormat="1" applyFont="1" applyFill="1" applyBorder="1" applyAlignment="1">
      <alignment horizontal="center" vertical="center"/>
    </xf>
    <xf numFmtId="167" fontId="26" fillId="54" borderId="50" xfId="0" applyNumberFormat="1" applyFont="1" applyFill="1" applyBorder="1" applyAlignment="1">
      <alignment horizontal="center" vertical="center"/>
    </xf>
    <xf numFmtId="167" fontId="26" fillId="50" borderId="25" xfId="0" applyNumberFormat="1" applyFont="1" applyFill="1" applyBorder="1" applyAlignment="1">
      <alignment horizontal="center" vertical="center"/>
    </xf>
    <xf numFmtId="167" fontId="26" fillId="50" borderId="12" xfId="0" applyNumberFormat="1" applyFont="1" applyFill="1" applyBorder="1" applyAlignment="1">
      <alignment horizontal="center" vertical="center"/>
    </xf>
    <xf numFmtId="167" fontId="26" fillId="0" borderId="46" xfId="0" applyNumberFormat="1" applyFont="1" applyBorder="1" applyAlignment="1">
      <alignment horizontal="center" vertical="center"/>
    </xf>
    <xf numFmtId="167" fontId="27" fillId="31" borderId="25" xfId="0" applyNumberFormat="1" applyFont="1" applyFill="1" applyBorder="1" applyAlignment="1">
      <alignment horizontal="center" vertical="center"/>
    </xf>
    <xf numFmtId="167" fontId="26" fillId="31" borderId="12" xfId="0" applyNumberFormat="1" applyFont="1" applyFill="1" applyBorder="1" applyAlignment="1">
      <alignment horizontal="center" vertical="center"/>
    </xf>
    <xf numFmtId="167" fontId="26" fillId="31" borderId="14" xfId="0" applyNumberFormat="1" applyFont="1" applyFill="1" applyBorder="1" applyAlignment="1">
      <alignment horizontal="center" vertical="center"/>
    </xf>
    <xf numFmtId="167" fontId="26" fillId="31" borderId="17" xfId="0" applyNumberFormat="1" applyFont="1" applyFill="1" applyBorder="1" applyAlignment="1">
      <alignment horizontal="center" vertical="center"/>
    </xf>
    <xf numFmtId="167" fontId="26" fillId="31" borderId="46" xfId="0" applyNumberFormat="1" applyFont="1" applyFill="1" applyBorder="1" applyAlignment="1">
      <alignment horizontal="center" vertical="center"/>
    </xf>
    <xf numFmtId="167" fontId="26" fillId="31" borderId="28" xfId="0" applyNumberFormat="1" applyFont="1" applyFill="1" applyBorder="1" applyAlignment="1">
      <alignment horizontal="center" vertical="center"/>
    </xf>
    <xf numFmtId="167" fontId="26" fillId="31" borderId="47" xfId="0" applyNumberFormat="1" applyFont="1" applyFill="1" applyBorder="1" applyAlignment="1">
      <alignment horizontal="center" vertical="center"/>
    </xf>
    <xf numFmtId="167" fontId="26" fillId="31" borderId="24" xfId="0" applyNumberFormat="1" applyFont="1" applyFill="1" applyBorder="1" applyAlignment="1">
      <alignment horizontal="center" vertical="center"/>
    </xf>
    <xf numFmtId="167" fontId="26" fillId="31" borderId="45" xfId="0" applyNumberFormat="1" applyFont="1" applyFill="1" applyBorder="1" applyAlignment="1">
      <alignment horizontal="center" vertical="center"/>
    </xf>
    <xf numFmtId="167" fontId="26" fillId="31" borderId="29" xfId="0" applyNumberFormat="1" applyFont="1" applyFill="1" applyBorder="1" applyAlignment="1">
      <alignment horizontal="center" vertical="center"/>
    </xf>
    <xf numFmtId="167" fontId="26" fillId="31" borderId="78" xfId="0" applyNumberFormat="1" applyFont="1" applyFill="1" applyBorder="1" applyAlignment="1">
      <alignment horizontal="center" vertical="center"/>
    </xf>
    <xf numFmtId="167" fontId="26" fillId="31" borderId="3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4" fontId="27" fillId="31" borderId="60" xfId="0" applyNumberFormat="1" applyFont="1" applyFill="1" applyBorder="1" applyAlignment="1">
      <alignment horizontal="left" vertical="center" wrapText="1"/>
    </xf>
    <xf numFmtId="167" fontId="27" fillId="0" borderId="60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27" fillId="31" borderId="0" xfId="0" applyFont="1" applyFill="1" applyAlignment="1">
      <alignment horizontal="center" vertical="center" wrapText="1"/>
    </xf>
    <xf numFmtId="167" fontId="27" fillId="0" borderId="45" xfId="0" applyNumberFormat="1" applyFont="1" applyBorder="1" applyAlignment="1">
      <alignment horizontal="center" vertical="center" textRotation="90" wrapText="1"/>
    </xf>
    <xf numFmtId="0" fontId="27" fillId="0" borderId="57" xfId="0" applyFont="1" applyBorder="1"/>
    <xf numFmtId="167" fontId="26" fillId="0" borderId="27" xfId="0" applyNumberFormat="1" applyFont="1" applyBorder="1" applyAlignment="1">
      <alignment horizontal="center" vertical="center" wrapText="1"/>
    </xf>
    <xf numFmtId="0" fontId="27" fillId="0" borderId="66" xfId="0" applyFont="1" applyBorder="1"/>
    <xf numFmtId="0" fontId="27" fillId="0" borderId="21" xfId="0" applyFont="1" applyBorder="1"/>
    <xf numFmtId="0" fontId="27" fillId="0" borderId="112" xfId="0" applyFont="1" applyBorder="1"/>
    <xf numFmtId="167" fontId="26" fillId="0" borderId="75" xfId="0" applyNumberFormat="1" applyFont="1" applyBorder="1" applyAlignment="1">
      <alignment horizontal="center" vertical="center" wrapText="1"/>
    </xf>
    <xf numFmtId="167" fontId="26" fillId="27" borderId="37" xfId="0" applyNumberFormat="1" applyFont="1" applyFill="1" applyBorder="1" applyAlignment="1">
      <alignment horizontal="center"/>
    </xf>
    <xf numFmtId="167" fontId="26" fillId="27" borderId="55" xfId="0" applyNumberFormat="1" applyFont="1" applyFill="1" applyBorder="1" applyAlignment="1">
      <alignment horizontal="center"/>
    </xf>
    <xf numFmtId="167" fontId="26" fillId="27" borderId="74" xfId="0" applyNumberFormat="1" applyFont="1" applyFill="1" applyBorder="1" applyAlignment="1">
      <alignment horizontal="center"/>
    </xf>
    <xf numFmtId="167" fontId="26" fillId="27" borderId="70" xfId="0" applyNumberFormat="1" applyFont="1" applyFill="1" applyBorder="1" applyAlignment="1">
      <alignment horizontal="center"/>
    </xf>
    <xf numFmtId="167" fontId="26" fillId="27" borderId="71" xfId="0" applyNumberFormat="1" applyFont="1" applyFill="1" applyBorder="1" applyAlignment="1">
      <alignment horizontal="center"/>
    </xf>
    <xf numFmtId="167" fontId="26" fillId="31" borderId="25" xfId="0" applyNumberFormat="1" applyFont="1" applyFill="1" applyBorder="1" applyAlignment="1">
      <alignment horizontal="center" vertical="center" wrapText="1"/>
    </xf>
    <xf numFmtId="167" fontId="26" fillId="27" borderId="52" xfId="0" applyNumberFormat="1" applyFont="1" applyFill="1" applyBorder="1" applyAlignment="1">
      <alignment horizontal="center"/>
    </xf>
    <xf numFmtId="167" fontId="26" fillId="27" borderId="13" xfId="0" applyNumberFormat="1" applyFont="1" applyFill="1" applyBorder="1" applyAlignment="1">
      <alignment horizontal="center"/>
    </xf>
    <xf numFmtId="167" fontId="26" fillId="27" borderId="44" xfId="0" applyNumberFormat="1" applyFont="1" applyFill="1" applyBorder="1" applyAlignment="1">
      <alignment horizontal="center"/>
    </xf>
    <xf numFmtId="167" fontId="26" fillId="27" borderId="41" xfId="0" applyNumberFormat="1" applyFont="1" applyFill="1" applyBorder="1" applyAlignment="1">
      <alignment horizontal="center"/>
    </xf>
    <xf numFmtId="167" fontId="26" fillId="27" borderId="42" xfId="0" applyNumberFormat="1" applyFont="1" applyFill="1" applyBorder="1" applyAlignment="1">
      <alignment horizontal="center"/>
    </xf>
    <xf numFmtId="167" fontId="26" fillId="27" borderId="43" xfId="0" applyNumberFormat="1" applyFont="1" applyFill="1" applyBorder="1" applyAlignment="1">
      <alignment horizontal="center"/>
    </xf>
    <xf numFmtId="167" fontId="26" fillId="0" borderId="26" xfId="0" applyNumberFormat="1" applyFont="1" applyBorder="1" applyAlignment="1">
      <alignment horizontal="center" vertical="center"/>
    </xf>
    <xf numFmtId="0" fontId="27" fillId="0" borderId="65" xfId="0" applyFont="1" applyBorder="1"/>
    <xf numFmtId="0" fontId="27" fillId="0" borderId="79" xfId="0" applyFont="1" applyBorder="1"/>
    <xf numFmtId="167" fontId="26" fillId="0" borderId="35" xfId="0" applyNumberFormat="1" applyFont="1" applyBorder="1" applyAlignment="1">
      <alignment horizontal="center" vertical="center"/>
    </xf>
    <xf numFmtId="167" fontId="26" fillId="0" borderId="27" xfId="0" applyNumberFormat="1" applyFont="1" applyBorder="1" applyAlignment="1">
      <alignment horizontal="center" vertical="center"/>
    </xf>
    <xf numFmtId="0" fontId="27" fillId="0" borderId="47" xfId="0" applyFont="1" applyBorder="1"/>
    <xf numFmtId="0" fontId="27" fillId="0" borderId="33" xfId="0" applyFont="1" applyBorder="1"/>
    <xf numFmtId="167" fontId="26" fillId="0" borderId="30" xfId="0" applyNumberFormat="1" applyFont="1" applyBorder="1" applyAlignment="1" applyProtection="1">
      <alignment horizontal="center" vertical="center" wrapText="1"/>
      <protection locked="0"/>
    </xf>
    <xf numFmtId="167" fontId="26" fillId="0" borderId="32" xfId="0" applyNumberFormat="1" applyFont="1" applyBorder="1" applyAlignment="1" applyProtection="1">
      <alignment horizontal="center" vertical="center" wrapText="1"/>
      <protection locked="0"/>
    </xf>
    <xf numFmtId="167" fontId="26" fillId="0" borderId="33" xfId="0" applyNumberFormat="1" applyFont="1" applyBorder="1" applyAlignment="1" applyProtection="1">
      <alignment horizontal="center" vertical="center" wrapText="1"/>
      <protection locked="0"/>
    </xf>
    <xf numFmtId="167" fontId="26" fillId="70" borderId="37" xfId="52" applyNumberFormat="1" applyFont="1" applyFill="1" applyBorder="1" applyAlignment="1">
      <alignment horizontal="center" vertical="center"/>
    </xf>
    <xf numFmtId="167" fontId="26" fillId="70" borderId="55" xfId="52" applyNumberFormat="1" applyFont="1" applyFill="1" applyBorder="1" applyAlignment="1">
      <alignment horizontal="center" vertical="center"/>
    </xf>
    <xf numFmtId="167" fontId="26" fillId="70" borderId="74" xfId="52" applyNumberFormat="1" applyFont="1" applyFill="1" applyBorder="1" applyAlignment="1">
      <alignment horizontal="center" vertical="center"/>
    </xf>
    <xf numFmtId="167" fontId="26" fillId="70" borderId="70" xfId="52" applyNumberFormat="1" applyFont="1" applyFill="1" applyBorder="1" applyAlignment="1">
      <alignment horizontal="center" vertical="center"/>
    </xf>
    <xf numFmtId="167" fontId="26" fillId="70" borderId="71" xfId="52" applyNumberFormat="1" applyFont="1" applyFill="1" applyBorder="1" applyAlignment="1">
      <alignment horizontal="center" vertical="center"/>
    </xf>
    <xf numFmtId="167" fontId="26" fillId="70" borderId="43" xfId="52" applyNumberFormat="1" applyFont="1" applyFill="1" applyBorder="1" applyAlignment="1">
      <alignment horizontal="center" vertical="center"/>
    </xf>
    <xf numFmtId="167" fontId="26" fillId="0" borderId="26" xfId="0" applyNumberFormat="1" applyFont="1" applyBorder="1" applyAlignment="1" applyProtection="1">
      <alignment horizontal="center" vertical="center" wrapText="1"/>
      <protection locked="0"/>
    </xf>
    <xf numFmtId="167" fontId="26" fillId="0" borderId="70" xfId="0" applyNumberFormat="1" applyFont="1" applyBorder="1" applyAlignment="1" applyProtection="1">
      <alignment horizontal="center" vertical="center" wrapText="1"/>
      <protection locked="0"/>
    </xf>
    <xf numFmtId="167" fontId="26" fillId="27" borderId="38" xfId="0" applyNumberFormat="1" applyFont="1" applyFill="1" applyBorder="1" applyAlignment="1">
      <alignment horizontal="center"/>
    </xf>
    <xf numFmtId="0" fontId="27" fillId="0" borderId="86" xfId="0" applyFont="1" applyBorder="1"/>
    <xf numFmtId="167" fontId="26" fillId="27" borderId="54" xfId="0" applyNumberFormat="1" applyFont="1" applyFill="1" applyBorder="1" applyAlignment="1">
      <alignment horizontal="center"/>
    </xf>
    <xf numFmtId="167" fontId="26" fillId="27" borderId="56" xfId="0" applyNumberFormat="1" applyFont="1" applyFill="1" applyBorder="1" applyAlignment="1">
      <alignment horizontal="center"/>
    </xf>
    <xf numFmtId="167" fontId="26" fillId="0" borderId="35" xfId="0" applyNumberFormat="1" applyFont="1" applyBorder="1" applyAlignment="1">
      <alignment horizontal="center" vertical="center" wrapText="1"/>
    </xf>
    <xf numFmtId="167" fontId="26" fillId="0" borderId="82" xfId="0" applyNumberFormat="1" applyFont="1" applyBorder="1" applyAlignment="1">
      <alignment horizontal="center" vertical="center" wrapText="1"/>
    </xf>
    <xf numFmtId="167" fontId="26" fillId="0" borderId="30" xfId="0" applyNumberFormat="1" applyFont="1" applyBorder="1" applyAlignment="1">
      <alignment horizontal="center" vertical="center" wrapText="1"/>
    </xf>
    <xf numFmtId="167" fontId="26" fillId="27" borderId="39" xfId="0" applyNumberFormat="1" applyFont="1" applyFill="1" applyBorder="1" applyAlignment="1">
      <alignment horizontal="center"/>
    </xf>
    <xf numFmtId="167" fontId="26" fillId="50" borderId="26" xfId="0" applyNumberFormat="1" applyFont="1" applyFill="1" applyBorder="1" applyAlignment="1">
      <alignment horizontal="center" vertical="center"/>
    </xf>
    <xf numFmtId="167" fontId="26" fillId="0" borderId="58" xfId="0" applyNumberFormat="1" applyFont="1" applyBorder="1" applyAlignment="1">
      <alignment horizontal="center" vertical="center"/>
    </xf>
    <xf numFmtId="167" fontId="26" fillId="0" borderId="59" xfId="0" applyNumberFormat="1" applyFont="1" applyBorder="1" applyAlignment="1">
      <alignment horizontal="center" vertical="center"/>
    </xf>
    <xf numFmtId="167" fontId="26" fillId="70" borderId="41" xfId="0" applyNumberFormat="1" applyFont="1" applyFill="1" applyBorder="1" applyAlignment="1">
      <alignment horizontal="center" vertical="center"/>
    </xf>
    <xf numFmtId="167" fontId="26" fillId="70" borderId="42" xfId="0" applyNumberFormat="1" applyFont="1" applyFill="1" applyBorder="1" applyAlignment="1">
      <alignment horizontal="center" vertical="center"/>
    </xf>
    <xf numFmtId="167" fontId="26" fillId="70" borderId="43" xfId="0" applyNumberFormat="1" applyFont="1" applyFill="1" applyBorder="1" applyAlignment="1">
      <alignment horizontal="center" vertical="center"/>
    </xf>
    <xf numFmtId="167" fontId="26" fillId="31" borderId="25" xfId="0" applyNumberFormat="1" applyFont="1" applyFill="1" applyBorder="1" applyAlignment="1">
      <alignment horizontal="center" vertical="center"/>
    </xf>
    <xf numFmtId="167" fontId="26" fillId="31" borderId="35" xfId="0" applyNumberFormat="1" applyFont="1" applyFill="1" applyBorder="1" applyAlignment="1">
      <alignment horizontal="center" vertical="center"/>
    </xf>
    <xf numFmtId="167" fontId="26" fillId="31" borderId="11" xfId="0" applyNumberFormat="1" applyFont="1" applyFill="1" applyBorder="1" applyAlignment="1">
      <alignment horizontal="center" vertical="center"/>
    </xf>
    <xf numFmtId="0" fontId="27" fillId="0" borderId="47" xfId="0" quotePrefix="1" applyFont="1" applyBorder="1"/>
    <xf numFmtId="0" fontId="27" fillId="0" borderId="86" xfId="0" quotePrefix="1" applyFont="1" applyBorder="1"/>
    <xf numFmtId="167" fontId="26" fillId="31" borderId="15" xfId="0" applyNumberFormat="1" applyFont="1" applyFill="1" applyBorder="1" applyAlignment="1">
      <alignment horizontal="center" vertical="center"/>
    </xf>
    <xf numFmtId="167" fontId="26" fillId="31" borderId="20" xfId="0" applyNumberFormat="1" applyFont="1" applyFill="1" applyBorder="1" applyAlignment="1">
      <alignment horizontal="center" vertical="center"/>
    </xf>
    <xf numFmtId="0" fontId="27" fillId="0" borderId="85" xfId="0" quotePrefix="1" applyFont="1" applyBorder="1"/>
    <xf numFmtId="167" fontId="26" fillId="31" borderId="48" xfId="0" applyNumberFormat="1" applyFont="1" applyFill="1" applyBorder="1" applyAlignment="1">
      <alignment horizontal="center" vertical="center"/>
    </xf>
    <xf numFmtId="167" fontId="26" fillId="71" borderId="53" xfId="0" applyNumberFormat="1" applyFont="1" applyFill="1" applyBorder="1" applyAlignment="1">
      <alignment horizontal="center"/>
    </xf>
    <xf numFmtId="167" fontId="26" fillId="71" borderId="38" xfId="0" applyNumberFormat="1" applyFont="1" applyFill="1" applyBorder="1" applyAlignment="1">
      <alignment horizontal="center"/>
    </xf>
    <xf numFmtId="167" fontId="26" fillId="71" borderId="77" xfId="0" applyNumberFormat="1" applyFont="1" applyFill="1" applyBorder="1" applyAlignment="1">
      <alignment horizontal="center"/>
    </xf>
    <xf numFmtId="0" fontId="38" fillId="0" borderId="0" xfId="0" applyFont="1"/>
    <xf numFmtId="167" fontId="27" fillId="0" borderId="11" xfId="0" applyNumberFormat="1" applyFont="1" applyBorder="1" applyAlignment="1">
      <alignment horizontal="center" vertical="center"/>
    </xf>
    <xf numFmtId="167" fontId="26" fillId="72" borderId="41" xfId="0" applyNumberFormat="1" applyFont="1" applyFill="1" applyBorder="1" applyAlignment="1">
      <alignment horizontal="center" vertical="center"/>
    </xf>
    <xf numFmtId="167" fontId="26" fillId="72" borderId="42" xfId="0" applyNumberFormat="1" applyFont="1" applyFill="1" applyBorder="1" applyAlignment="1">
      <alignment horizontal="center" vertical="center"/>
    </xf>
    <xf numFmtId="167" fontId="26" fillId="72" borderId="43" xfId="0" applyNumberFormat="1" applyFont="1" applyFill="1" applyBorder="1" applyAlignment="1">
      <alignment horizontal="center" vertical="center"/>
    </xf>
    <xf numFmtId="167" fontId="65" fillId="0" borderId="0" xfId="0" applyNumberFormat="1" applyFont="1" applyAlignment="1">
      <alignment horizontal="center"/>
    </xf>
    <xf numFmtId="0" fontId="64" fillId="0" borderId="0" xfId="0" applyFont="1"/>
    <xf numFmtId="0" fontId="0" fillId="0" borderId="0" xfId="0" applyAlignment="1">
      <alignment horizontal="center" vertical="center"/>
    </xf>
    <xf numFmtId="165" fontId="5" fillId="0" borderId="0" xfId="54" applyNumberFormat="1" applyAlignment="1">
      <alignment vertical="center" wrapText="1"/>
    </xf>
    <xf numFmtId="0" fontId="5" fillId="0" borderId="0" xfId="54"/>
    <xf numFmtId="167" fontId="5" fillId="0" borderId="0" xfId="54" applyNumberFormat="1" applyAlignment="1">
      <alignment horizontal="right" vertical="center" wrapText="1"/>
    </xf>
    <xf numFmtId="49" fontId="5" fillId="0" borderId="14" xfId="54" applyNumberFormat="1" applyBorder="1" applyAlignment="1">
      <alignment horizontal="center" vertical="center" wrapText="1"/>
    </xf>
    <xf numFmtId="165" fontId="5" fillId="0" borderId="14" xfId="54" applyNumberFormat="1" applyBorder="1" applyAlignment="1">
      <alignment vertical="center" wrapText="1"/>
    </xf>
    <xf numFmtId="167" fontId="5" fillId="0" borderId="14" xfId="54" applyNumberFormat="1" applyBorder="1" applyAlignment="1">
      <alignment horizontal="center" vertical="center" wrapText="1"/>
    </xf>
    <xf numFmtId="167" fontId="5" fillId="0" borderId="0" xfId="54" applyNumberFormat="1" applyAlignment="1">
      <alignment vertical="center" wrapText="1"/>
    </xf>
    <xf numFmtId="49" fontId="5" fillId="0" borderId="0" xfId="54" applyNumberFormat="1" applyAlignment="1">
      <alignment vertical="center" wrapText="1"/>
    </xf>
    <xf numFmtId="167" fontId="5" fillId="0" borderId="14" xfId="54" applyNumberFormat="1" applyBorder="1" applyAlignment="1">
      <alignment vertical="center" wrapText="1"/>
    </xf>
    <xf numFmtId="167" fontId="5" fillId="0" borderId="0" xfId="54" applyNumberFormat="1"/>
    <xf numFmtId="167" fontId="26" fillId="31" borderId="26" xfId="0" applyNumberFormat="1" applyFont="1" applyFill="1" applyBorder="1" applyAlignment="1">
      <alignment horizontal="center" vertical="center"/>
    </xf>
    <xf numFmtId="167" fontId="26" fillId="0" borderId="16" xfId="0" applyNumberFormat="1" applyFont="1" applyBorder="1" applyAlignment="1">
      <alignment horizontal="center" vertical="center"/>
    </xf>
    <xf numFmtId="167" fontId="26" fillId="0" borderId="31" xfId="0" applyNumberFormat="1" applyFont="1" applyBorder="1" applyAlignment="1">
      <alignment horizontal="center" vertical="center"/>
    </xf>
    <xf numFmtId="167" fontId="26" fillId="0" borderId="19" xfId="0" applyNumberFormat="1" applyFont="1" applyBorder="1" applyAlignment="1">
      <alignment horizontal="center" vertical="center"/>
    </xf>
    <xf numFmtId="167" fontId="26" fillId="72" borderId="41" xfId="0" applyNumberFormat="1" applyFont="1" applyFill="1" applyBorder="1" applyAlignment="1">
      <alignment horizontal="center" vertical="center" wrapText="1"/>
    </xf>
    <xf numFmtId="167" fontId="27" fillId="49" borderId="56" xfId="0" applyNumberFormat="1" applyFont="1" applyFill="1" applyBorder="1" applyAlignment="1">
      <alignment horizontal="center" vertical="center"/>
    </xf>
    <xf numFmtId="167" fontId="27" fillId="48" borderId="56" xfId="0" applyNumberFormat="1" applyFont="1" applyFill="1" applyBorder="1" applyAlignment="1">
      <alignment horizontal="center" vertical="center"/>
    </xf>
    <xf numFmtId="167" fontId="27" fillId="47" borderId="56" xfId="0" applyNumberFormat="1" applyFont="1" applyFill="1" applyBorder="1" applyAlignment="1">
      <alignment horizontal="center" vertical="center"/>
    </xf>
    <xf numFmtId="167" fontId="26" fillId="54" borderId="44" xfId="0" applyNumberFormat="1" applyFont="1" applyFill="1" applyBorder="1" applyAlignment="1">
      <alignment horizontal="center" vertical="center"/>
    </xf>
    <xf numFmtId="167" fontId="27" fillId="48" borderId="54" xfId="0" applyNumberFormat="1" applyFont="1" applyFill="1" applyBorder="1" applyAlignment="1">
      <alignment horizontal="center" vertical="center"/>
    </xf>
    <xf numFmtId="167" fontId="27" fillId="47" borderId="54" xfId="0" applyNumberFormat="1" applyFont="1" applyFill="1" applyBorder="1" applyAlignment="1">
      <alignment horizontal="center" vertical="center"/>
    </xf>
    <xf numFmtId="167" fontId="26" fillId="54" borderId="61" xfId="0" applyNumberFormat="1" applyFont="1" applyFill="1" applyBorder="1" applyAlignment="1">
      <alignment horizontal="center" vertical="center"/>
    </xf>
    <xf numFmtId="167" fontId="26" fillId="54" borderId="41" xfId="0" applyNumberFormat="1" applyFont="1" applyFill="1" applyBorder="1" applyAlignment="1">
      <alignment horizontal="center" vertical="center"/>
    </xf>
    <xf numFmtId="167" fontId="26" fillId="54" borderId="42" xfId="0" applyNumberFormat="1" applyFont="1" applyFill="1" applyBorder="1" applyAlignment="1">
      <alignment horizontal="center" vertical="center"/>
    </xf>
    <xf numFmtId="167" fontId="26" fillId="54" borderId="43" xfId="0" applyNumberFormat="1" applyFont="1" applyFill="1" applyBorder="1" applyAlignment="1">
      <alignment horizontal="center" vertical="center"/>
    </xf>
    <xf numFmtId="167" fontId="26" fillId="54" borderId="77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0" xfId="46" applyFont="1"/>
    <xf numFmtId="0" fontId="5" fillId="0" borderId="0" xfId="46" applyAlignment="1">
      <alignment horizontal="left" vertical="center"/>
    </xf>
    <xf numFmtId="0" fontId="25" fillId="0" borderId="0" xfId="46" applyFont="1"/>
    <xf numFmtId="0" fontId="27" fillId="0" borderId="0" xfId="46" applyFont="1" applyAlignment="1">
      <alignment horizontal="center"/>
    </xf>
    <xf numFmtId="167" fontId="27" fillId="0" borderId="0" xfId="46" applyNumberFormat="1" applyFont="1" applyAlignment="1">
      <alignment horizontal="center"/>
    </xf>
    <xf numFmtId="167" fontId="27" fillId="0" borderId="0" xfId="46" applyNumberFormat="1" applyFont="1"/>
    <xf numFmtId="167" fontId="27" fillId="0" borderId="0" xfId="46" applyNumberFormat="1" applyFont="1" applyAlignment="1">
      <alignment horizontal="center" vertical="center" wrapText="1"/>
    </xf>
    <xf numFmtId="167" fontId="27" fillId="0" borderId="14" xfId="46" applyNumberFormat="1" applyFont="1" applyBorder="1" applyAlignment="1">
      <alignment horizontal="centerContinuous" vertical="center" wrapText="1"/>
    </xf>
    <xf numFmtId="167" fontId="27" fillId="0" borderId="24" xfId="46" applyNumberFormat="1" applyFont="1" applyBorder="1" applyAlignment="1">
      <alignment horizontal="center" vertical="center" textRotation="90"/>
    </xf>
    <xf numFmtId="167" fontId="27" fillId="0" borderId="24" xfId="46" applyNumberFormat="1" applyFont="1" applyBorder="1" applyAlignment="1">
      <alignment horizontal="center" vertical="center" textRotation="90" wrapText="1"/>
    </xf>
    <xf numFmtId="0" fontId="27" fillId="0" borderId="35" xfId="46" applyFont="1" applyBorder="1" applyAlignment="1">
      <alignment horizontal="center" vertical="center" wrapText="1"/>
    </xf>
    <xf numFmtId="167" fontId="27" fillId="0" borderId="16" xfId="46" applyNumberFormat="1" applyFont="1" applyBorder="1" applyAlignment="1">
      <alignment horizontal="center" vertical="center" wrapText="1"/>
    </xf>
    <xf numFmtId="167" fontId="27" fillId="0" borderId="31" xfId="46" applyNumberFormat="1" applyFont="1" applyBorder="1" applyAlignment="1">
      <alignment horizontal="center" vertical="center" wrapText="1"/>
    </xf>
    <xf numFmtId="167" fontId="27" fillId="0" borderId="19" xfId="46" applyNumberFormat="1" applyFont="1" applyBorder="1" applyAlignment="1">
      <alignment horizontal="center" vertical="center" wrapText="1"/>
    </xf>
    <xf numFmtId="4" fontId="27" fillId="0" borderId="16" xfId="46" applyNumberFormat="1" applyFont="1" applyBorder="1" applyAlignment="1">
      <alignment horizontal="center" vertical="center" wrapText="1"/>
    </xf>
    <xf numFmtId="4" fontId="27" fillId="0" borderId="31" xfId="46" applyNumberFormat="1" applyFont="1" applyBorder="1" applyAlignment="1">
      <alignment horizontal="center" vertical="center" wrapText="1"/>
    </xf>
    <xf numFmtId="4" fontId="27" fillId="0" borderId="19" xfId="46" applyNumberFormat="1" applyFont="1" applyBorder="1" applyAlignment="1">
      <alignment horizontal="center" vertical="center" wrapText="1"/>
    </xf>
    <xf numFmtId="167" fontId="25" fillId="0" borderId="0" xfId="46" applyNumberFormat="1" applyFont="1"/>
    <xf numFmtId="167" fontId="27" fillId="0" borderId="24" xfId="46" applyNumberFormat="1" applyFont="1" applyBorder="1" applyAlignment="1">
      <alignment horizontal="center" vertical="center" wrapText="1"/>
    </xf>
    <xf numFmtId="167" fontId="27" fillId="0" borderId="20" xfId="46" applyNumberFormat="1" applyFont="1" applyBorder="1" applyAlignment="1">
      <alignment horizontal="center" vertical="center" wrapText="1"/>
    </xf>
    <xf numFmtId="167" fontId="27" fillId="0" borderId="24" xfId="46" quotePrefix="1" applyNumberFormat="1" applyFont="1" applyBorder="1" applyAlignment="1">
      <alignment horizontal="center" vertical="center" wrapText="1"/>
    </xf>
    <xf numFmtId="0" fontId="25" fillId="0" borderId="14" xfId="46" applyFont="1" applyBorder="1"/>
    <xf numFmtId="167" fontId="27" fillId="28" borderId="41" xfId="46" applyNumberFormat="1" applyFont="1" applyFill="1" applyBorder="1" applyAlignment="1">
      <alignment horizontal="center" vertical="center" wrapText="1"/>
    </xf>
    <xf numFmtId="167" fontId="27" fillId="28" borderId="42" xfId="46" applyNumberFormat="1" applyFont="1" applyFill="1" applyBorder="1" applyAlignment="1">
      <alignment horizontal="center" vertical="center" wrapText="1"/>
    </xf>
    <xf numFmtId="167" fontId="27" fillId="28" borderId="43" xfId="46" applyNumberFormat="1" applyFont="1" applyFill="1" applyBorder="1" applyAlignment="1">
      <alignment horizontal="center" vertical="center" wrapText="1"/>
    </xf>
    <xf numFmtId="167" fontId="27" fillId="28" borderId="56" xfId="46" applyNumberFormat="1" applyFont="1" applyFill="1" applyBorder="1" applyAlignment="1">
      <alignment horizontal="center" vertical="center" wrapText="1"/>
    </xf>
    <xf numFmtId="167" fontId="27" fillId="32" borderId="41" xfId="46" applyNumberFormat="1" applyFont="1" applyFill="1" applyBorder="1" applyAlignment="1">
      <alignment horizontal="center" vertical="center" wrapText="1"/>
    </xf>
    <xf numFmtId="0" fontId="27" fillId="0" borderId="26" xfId="46" applyFont="1" applyBorder="1" applyAlignment="1">
      <alignment horizontal="center" vertical="center" wrapText="1"/>
    </xf>
    <xf numFmtId="164" fontId="27" fillId="0" borderId="16" xfId="55" applyFont="1" applyBorder="1" applyAlignment="1">
      <alignment horizontal="center" vertical="center" wrapText="1"/>
    </xf>
    <xf numFmtId="167" fontId="28" fillId="0" borderId="24" xfId="46" applyNumberFormat="1" applyFont="1" applyBorder="1" applyAlignment="1">
      <alignment horizontal="center" vertical="center" wrapText="1"/>
    </xf>
    <xf numFmtId="0" fontId="28" fillId="0" borderId="45" xfId="46" applyFont="1" applyBorder="1" applyAlignment="1">
      <alignment horizontal="center" vertical="center" wrapText="1"/>
    </xf>
    <xf numFmtId="167" fontId="27" fillId="31" borderId="28" xfId="46" applyNumberFormat="1" applyFont="1" applyFill="1" applyBorder="1" applyAlignment="1">
      <alignment horizontal="center" vertical="center" wrapText="1"/>
    </xf>
    <xf numFmtId="167" fontId="28" fillId="31" borderId="11" xfId="46" applyNumberFormat="1" applyFont="1" applyFill="1" applyBorder="1" applyAlignment="1">
      <alignment horizontal="center" vertical="center" wrapText="1"/>
    </xf>
    <xf numFmtId="167" fontId="28" fillId="31" borderId="14" xfId="46" applyNumberFormat="1" applyFont="1" applyFill="1" applyBorder="1" applyAlignment="1">
      <alignment horizontal="center" vertical="center" wrapText="1"/>
    </xf>
    <xf numFmtId="167" fontId="28" fillId="31" borderId="28" xfId="46" applyNumberFormat="1" applyFont="1" applyFill="1" applyBorder="1" applyAlignment="1">
      <alignment horizontal="center" vertical="center" wrapText="1"/>
    </xf>
    <xf numFmtId="167" fontId="27" fillId="0" borderId="58" xfId="46" applyNumberFormat="1" applyFont="1" applyBorder="1" applyAlignment="1">
      <alignment horizontal="center" vertical="center" wrapText="1"/>
    </xf>
    <xf numFmtId="167" fontId="27" fillId="32" borderId="77" xfId="46" applyNumberFormat="1" applyFont="1" applyFill="1" applyBorder="1" applyAlignment="1">
      <alignment horizontal="center" vertical="center" wrapText="1"/>
    </xf>
    <xf numFmtId="167" fontId="27" fillId="28" borderId="54" xfId="46" applyNumberFormat="1" applyFont="1" applyFill="1" applyBorder="1" applyAlignment="1">
      <alignment horizontal="center" vertical="center" wrapText="1"/>
    </xf>
    <xf numFmtId="0" fontId="27" fillId="0" borderId="28" xfId="46" applyFont="1" applyBorder="1" applyAlignment="1">
      <alignment horizontal="center" vertical="center" wrapText="1"/>
    </xf>
    <xf numFmtId="0" fontId="27" fillId="31" borderId="26" xfId="46" applyFont="1" applyFill="1" applyBorder="1" applyAlignment="1">
      <alignment horizontal="center" vertical="center" wrapText="1"/>
    </xf>
    <xf numFmtId="167" fontId="27" fillId="31" borderId="31" xfId="46" applyNumberFormat="1" applyFont="1" applyFill="1" applyBorder="1" applyAlignment="1">
      <alignment horizontal="center" vertical="center" wrapText="1"/>
    </xf>
    <xf numFmtId="167" fontId="27" fillId="31" borderId="15" xfId="46" applyNumberFormat="1" applyFont="1" applyFill="1" applyBorder="1" applyAlignment="1">
      <alignment horizontal="center" vertical="center" wrapText="1"/>
    </xf>
    <xf numFmtId="167" fontId="27" fillId="31" borderId="24" xfId="46" applyNumberFormat="1" applyFont="1" applyFill="1" applyBorder="1" applyAlignment="1">
      <alignment horizontal="center" vertical="center" wrapText="1"/>
    </xf>
    <xf numFmtId="167" fontId="27" fillId="0" borderId="59" xfId="46" applyNumberFormat="1" applyFont="1" applyBorder="1" applyAlignment="1">
      <alignment horizontal="center" vertical="center" wrapText="1"/>
    </xf>
    <xf numFmtId="167" fontId="27" fillId="31" borderId="11" xfId="46" applyNumberFormat="1" applyFont="1" applyFill="1" applyBorder="1" applyAlignment="1">
      <alignment horizontal="center" vertical="center" wrapText="1"/>
    </xf>
    <xf numFmtId="167" fontId="27" fillId="31" borderId="14" xfId="46" applyNumberFormat="1" applyFont="1" applyFill="1" applyBorder="1" applyAlignment="1">
      <alignment horizontal="center" vertical="center" wrapText="1"/>
    </xf>
    <xf numFmtId="167" fontId="27" fillId="0" borderId="23" xfId="46" applyNumberFormat="1" applyFont="1" applyBorder="1" applyAlignment="1">
      <alignment horizontal="center" vertical="center" wrapText="1"/>
    </xf>
    <xf numFmtId="167" fontId="27" fillId="31" borderId="58" xfId="46" applyNumberFormat="1" applyFont="1" applyFill="1" applyBorder="1" applyAlignment="1">
      <alignment horizontal="center" vertical="center" wrapText="1"/>
    </xf>
    <xf numFmtId="167" fontId="27" fillId="31" borderId="59" xfId="46" applyNumberFormat="1" applyFont="1" applyFill="1" applyBorder="1" applyAlignment="1">
      <alignment horizontal="center" vertical="center" wrapText="1"/>
    </xf>
    <xf numFmtId="167" fontId="27" fillId="31" borderId="23" xfId="46" applyNumberFormat="1" applyFont="1" applyFill="1" applyBorder="1" applyAlignment="1">
      <alignment horizontal="center" vertical="center" wrapText="1"/>
    </xf>
    <xf numFmtId="167" fontId="27" fillId="32" borderId="42" xfId="46" applyNumberFormat="1" applyFont="1" applyFill="1" applyBorder="1" applyAlignment="1">
      <alignment horizontal="center" vertical="center" wrapText="1"/>
    </xf>
    <xf numFmtId="167" fontId="27" fillId="32" borderId="43" xfId="46" applyNumberFormat="1" applyFont="1" applyFill="1" applyBorder="1" applyAlignment="1">
      <alignment horizontal="center" vertical="center" wrapText="1"/>
    </xf>
    <xf numFmtId="167" fontId="27" fillId="31" borderId="16" xfId="46" applyNumberFormat="1" applyFont="1" applyFill="1" applyBorder="1" applyAlignment="1">
      <alignment horizontal="center" vertical="center" wrapText="1"/>
    </xf>
    <xf numFmtId="167" fontId="27" fillId="31" borderId="19" xfId="46" applyNumberFormat="1" applyFont="1" applyFill="1" applyBorder="1" applyAlignment="1">
      <alignment horizontal="center" vertical="center" wrapText="1"/>
    </xf>
    <xf numFmtId="167" fontId="27" fillId="31" borderId="20" xfId="46" applyNumberFormat="1" applyFont="1" applyFill="1" applyBorder="1" applyAlignment="1">
      <alignment horizontal="center" vertical="center" wrapText="1"/>
    </xf>
    <xf numFmtId="167" fontId="27" fillId="32" borderId="54" xfId="46" applyNumberFormat="1" applyFont="1" applyFill="1" applyBorder="1" applyAlignment="1">
      <alignment horizontal="center" vertical="center" wrapText="1"/>
    </xf>
    <xf numFmtId="167" fontId="28" fillId="31" borderId="16" xfId="46" applyNumberFormat="1" applyFont="1" applyFill="1" applyBorder="1" applyAlignment="1">
      <alignment horizontal="center" vertical="center" wrapText="1"/>
    </xf>
    <xf numFmtId="167" fontId="28" fillId="31" borderId="31" xfId="46" applyNumberFormat="1" applyFont="1" applyFill="1" applyBorder="1" applyAlignment="1">
      <alignment horizontal="center" vertical="center" wrapText="1"/>
    </xf>
    <xf numFmtId="167" fontId="28" fillId="31" borderId="19" xfId="46" applyNumberFormat="1" applyFont="1" applyFill="1" applyBorder="1" applyAlignment="1">
      <alignment horizontal="center" vertical="center" wrapText="1"/>
    </xf>
    <xf numFmtId="167" fontId="30" fillId="31" borderId="14" xfId="46" applyNumberFormat="1" applyFont="1" applyFill="1" applyBorder="1" applyAlignment="1">
      <alignment horizontal="center" vertical="center" wrapText="1"/>
    </xf>
    <xf numFmtId="167" fontId="30" fillId="31" borderId="28" xfId="46" applyNumberFormat="1" applyFont="1" applyFill="1" applyBorder="1" applyAlignment="1">
      <alignment horizontal="center" vertical="center" wrapText="1"/>
    </xf>
    <xf numFmtId="167" fontId="28" fillId="31" borderId="24" xfId="46" applyNumberFormat="1" applyFont="1" applyFill="1" applyBorder="1" applyAlignment="1">
      <alignment horizontal="center" vertical="center" wrapText="1"/>
    </xf>
    <xf numFmtId="167" fontId="28" fillId="31" borderId="20" xfId="46" applyNumberFormat="1" applyFont="1" applyFill="1" applyBorder="1" applyAlignment="1">
      <alignment horizontal="center" vertical="center" wrapText="1"/>
    </xf>
    <xf numFmtId="0" fontId="25" fillId="0" borderId="0" xfId="46" applyFont="1" applyAlignment="1">
      <alignment vertical="center"/>
    </xf>
    <xf numFmtId="0" fontId="27" fillId="0" borderId="34" xfId="46" applyFont="1" applyBorder="1" applyAlignment="1">
      <alignment horizontal="center" vertical="center" wrapText="1"/>
    </xf>
    <xf numFmtId="0" fontId="27" fillId="31" borderId="23" xfId="46" applyFont="1" applyFill="1" applyBorder="1" applyAlignment="1">
      <alignment horizontal="center" vertical="center" wrapText="1"/>
    </xf>
    <xf numFmtId="0" fontId="27" fillId="24" borderId="10" xfId="46" applyFont="1" applyFill="1" applyBorder="1" applyAlignment="1">
      <alignment horizontal="center" vertical="center" wrapText="1"/>
    </xf>
    <xf numFmtId="167" fontId="27" fillId="24" borderId="70" xfId="46" applyNumberFormat="1" applyFont="1" applyFill="1" applyBorder="1" applyAlignment="1">
      <alignment horizontal="center" vertical="center" wrapText="1"/>
    </xf>
    <xf numFmtId="167" fontId="27" fillId="24" borderId="55" xfId="46" applyNumberFormat="1" applyFont="1" applyFill="1" applyBorder="1" applyAlignment="1">
      <alignment horizontal="center" vertical="center" wrapText="1"/>
    </xf>
    <xf numFmtId="167" fontId="27" fillId="24" borderId="41" xfId="46" applyNumberFormat="1" applyFont="1" applyFill="1" applyBorder="1" applyAlignment="1">
      <alignment horizontal="center" vertical="center" wrapText="1"/>
    </xf>
    <xf numFmtId="0" fontId="27" fillId="0" borderId="19" xfId="46" applyFont="1" applyBorder="1" applyAlignment="1">
      <alignment horizontal="center" vertical="center" wrapText="1"/>
    </xf>
    <xf numFmtId="167" fontId="27" fillId="0" borderId="30" xfId="46" applyNumberFormat="1" applyFont="1" applyBorder="1" applyAlignment="1">
      <alignment horizontal="center" vertical="center" wrapText="1"/>
    </xf>
    <xf numFmtId="167" fontId="27" fillId="28" borderId="13" xfId="46" applyNumberFormat="1" applyFont="1" applyFill="1" applyBorder="1" applyAlignment="1">
      <alignment horizontal="center" vertical="center" wrapText="1"/>
    </xf>
    <xf numFmtId="167" fontId="27" fillId="28" borderId="50" xfId="46" applyNumberFormat="1" applyFont="1" applyFill="1" applyBorder="1" applyAlignment="1">
      <alignment horizontal="center" vertical="center" wrapText="1"/>
    </xf>
    <xf numFmtId="167" fontId="27" fillId="32" borderId="49" xfId="46" applyNumberFormat="1" applyFont="1" applyFill="1" applyBorder="1" applyAlignment="1">
      <alignment horizontal="center" vertical="center" wrapText="1"/>
    </xf>
    <xf numFmtId="167" fontId="27" fillId="31" borderId="25" xfId="46" applyNumberFormat="1" applyFont="1" applyFill="1" applyBorder="1" applyAlignment="1">
      <alignment horizontal="center" vertical="center" wrapText="1"/>
    </xf>
    <xf numFmtId="167" fontId="27" fillId="31" borderId="12" xfId="46" applyNumberFormat="1" applyFont="1" applyFill="1" applyBorder="1" applyAlignment="1">
      <alignment horizontal="center" vertical="center" wrapText="1"/>
    </xf>
    <xf numFmtId="167" fontId="27" fillId="31" borderId="46" xfId="46" applyNumberFormat="1" applyFont="1" applyFill="1" applyBorder="1" applyAlignment="1">
      <alignment horizontal="center" vertical="center" wrapText="1"/>
    </xf>
    <xf numFmtId="167" fontId="27" fillId="0" borderId="48" xfId="46" applyNumberFormat="1" applyFont="1" applyBorder="1" applyAlignment="1">
      <alignment horizontal="center" vertical="center" wrapText="1"/>
    </xf>
    <xf numFmtId="167" fontId="27" fillId="0" borderId="29" xfId="46" applyNumberFormat="1" applyFont="1" applyBorder="1" applyAlignment="1">
      <alignment horizontal="center" vertical="center" wrapText="1"/>
    </xf>
    <xf numFmtId="167" fontId="27" fillId="0" borderId="34" xfId="46" applyNumberFormat="1" applyFont="1" applyBorder="1" applyAlignment="1">
      <alignment horizontal="center" vertical="center" wrapText="1"/>
    </xf>
    <xf numFmtId="167" fontId="27" fillId="0" borderId="75" xfId="46" applyNumberFormat="1" applyFont="1" applyBorder="1" applyAlignment="1">
      <alignment horizontal="center" vertical="center" wrapText="1"/>
    </xf>
    <xf numFmtId="167" fontId="27" fillId="31" borderId="75" xfId="46" applyNumberFormat="1" applyFont="1" applyFill="1" applyBorder="1" applyAlignment="1">
      <alignment horizontal="center" vertical="center" wrapText="1"/>
    </xf>
    <xf numFmtId="167" fontId="27" fillId="31" borderId="29" xfId="46" applyNumberFormat="1" applyFont="1" applyFill="1" applyBorder="1" applyAlignment="1">
      <alignment horizontal="center" vertical="center" wrapText="1"/>
    </xf>
    <xf numFmtId="167" fontId="27" fillId="28" borderId="70" xfId="46" applyNumberFormat="1" applyFont="1" applyFill="1" applyBorder="1" applyAlignment="1">
      <alignment horizontal="center" vertical="center" wrapText="1"/>
    </xf>
    <xf numFmtId="167" fontId="27" fillId="28" borderId="55" xfId="46" applyNumberFormat="1" applyFont="1" applyFill="1" applyBorder="1" applyAlignment="1">
      <alignment horizontal="center" vertical="center" wrapText="1"/>
    </xf>
    <xf numFmtId="167" fontId="27" fillId="28" borderId="74" xfId="46" applyNumberFormat="1" applyFont="1" applyFill="1" applyBorder="1" applyAlignment="1">
      <alignment horizontal="center" vertical="center" wrapText="1"/>
    </xf>
    <xf numFmtId="167" fontId="27" fillId="0" borderId="10" xfId="46" applyNumberFormat="1" applyFont="1" applyBorder="1" applyAlignment="1">
      <alignment horizontal="center" vertical="center" wrapText="1"/>
    </xf>
    <xf numFmtId="167" fontId="27" fillId="31" borderId="26" xfId="46" applyNumberFormat="1" applyFont="1" applyFill="1" applyBorder="1" applyAlignment="1">
      <alignment horizontal="center" vertical="center" wrapText="1"/>
    </xf>
    <xf numFmtId="167" fontId="27" fillId="0" borderId="45" xfId="46" applyNumberFormat="1" applyFont="1" applyBorder="1" applyAlignment="1">
      <alignment horizontal="center" vertical="center" wrapText="1"/>
    </xf>
    <xf numFmtId="167" fontId="27" fillId="28" borderId="37" xfId="46" applyNumberFormat="1" applyFont="1" applyFill="1" applyBorder="1" applyAlignment="1">
      <alignment horizontal="center" vertical="center" wrapText="1"/>
    </xf>
    <xf numFmtId="167" fontId="27" fillId="28" borderId="71" xfId="46" applyNumberFormat="1" applyFont="1" applyFill="1" applyBorder="1" applyAlignment="1">
      <alignment horizontal="center" vertical="center" wrapText="1"/>
    </xf>
    <xf numFmtId="167" fontId="27" fillId="0" borderId="72" xfId="46" applyNumberFormat="1" applyFont="1" applyBorder="1" applyAlignment="1">
      <alignment horizontal="center" vertical="center" wrapText="1"/>
    </xf>
    <xf numFmtId="167" fontId="27" fillId="0" borderId="76" xfId="46" applyNumberFormat="1" applyFont="1" applyBorder="1" applyAlignment="1">
      <alignment horizontal="center" vertical="center" wrapText="1"/>
    </xf>
    <xf numFmtId="0" fontId="5" fillId="0" borderId="0" xfId="46"/>
    <xf numFmtId="167" fontId="27" fillId="31" borderId="10" xfId="46" applyNumberFormat="1" applyFont="1" applyFill="1" applyBorder="1" applyAlignment="1">
      <alignment horizontal="center" vertical="center" wrapText="1"/>
    </xf>
    <xf numFmtId="0" fontId="27" fillId="31" borderId="28" xfId="46" applyFont="1" applyFill="1" applyBorder="1" applyAlignment="1">
      <alignment horizontal="center" vertical="center" wrapText="1"/>
    </xf>
    <xf numFmtId="167" fontId="27" fillId="31" borderId="30" xfId="46" applyNumberFormat="1" applyFont="1" applyFill="1" applyBorder="1" applyAlignment="1">
      <alignment horizontal="center" vertical="center" wrapText="1"/>
    </xf>
    <xf numFmtId="167" fontId="27" fillId="32" borderId="56" xfId="46" applyNumberFormat="1" applyFont="1" applyFill="1" applyBorder="1" applyAlignment="1">
      <alignment horizontal="center" vertical="center" wrapText="1"/>
    </xf>
    <xf numFmtId="0" fontId="27" fillId="0" borderId="50" xfId="46" applyFont="1" applyBorder="1" applyAlignment="1">
      <alignment horizontal="center" vertical="center" wrapText="1"/>
    </xf>
    <xf numFmtId="167" fontId="27" fillId="0" borderId="49" xfId="46" applyNumberFormat="1" applyFont="1" applyBorder="1" applyAlignment="1">
      <alignment horizontal="center" vertical="center" wrapText="1"/>
    </xf>
    <xf numFmtId="167" fontId="27" fillId="0" borderId="13" xfId="46" applyNumberFormat="1" applyFont="1" applyBorder="1" applyAlignment="1">
      <alignment horizontal="center" vertical="center" wrapText="1"/>
    </xf>
    <xf numFmtId="167" fontId="27" fillId="0" borderId="50" xfId="46" applyNumberFormat="1" applyFont="1" applyBorder="1" applyAlignment="1">
      <alignment horizontal="center" vertical="center" wrapText="1"/>
    </xf>
    <xf numFmtId="0" fontId="27" fillId="31" borderId="59" xfId="46" applyFont="1" applyFill="1" applyBorder="1" applyAlignment="1">
      <alignment horizontal="right" vertical="center" wrapText="1"/>
    </xf>
    <xf numFmtId="0" fontId="27" fillId="31" borderId="43" xfId="46" applyFont="1" applyFill="1" applyBorder="1" applyAlignment="1">
      <alignment horizontal="center" vertical="center" wrapText="1"/>
    </xf>
    <xf numFmtId="167" fontId="27" fillId="31" borderId="49" xfId="46" applyNumberFormat="1" applyFont="1" applyFill="1" applyBorder="1" applyAlignment="1">
      <alignment horizontal="center" vertical="center" wrapText="1"/>
    </xf>
    <xf numFmtId="167" fontId="27" fillId="31" borderId="13" xfId="46" applyNumberFormat="1" applyFont="1" applyFill="1" applyBorder="1" applyAlignment="1">
      <alignment horizontal="center" vertical="center" wrapText="1"/>
    </xf>
    <xf numFmtId="167" fontId="27" fillId="31" borderId="50" xfId="46" applyNumberFormat="1" applyFont="1" applyFill="1" applyBorder="1" applyAlignment="1">
      <alignment horizontal="center" vertical="center" wrapText="1"/>
    </xf>
    <xf numFmtId="0" fontId="25" fillId="33" borderId="70" xfId="46" applyFont="1" applyFill="1" applyBorder="1" applyAlignment="1">
      <alignment vertical="center"/>
    </xf>
    <xf numFmtId="0" fontId="27" fillId="24" borderId="71" xfId="46" applyFont="1" applyFill="1" applyBorder="1" applyAlignment="1">
      <alignment horizontal="center" vertical="center" wrapText="1"/>
    </xf>
    <xf numFmtId="167" fontId="27" fillId="24" borderId="74" xfId="46" applyNumberFormat="1" applyFont="1" applyFill="1" applyBorder="1" applyAlignment="1">
      <alignment horizontal="center" vertical="center" wrapText="1"/>
    </xf>
    <xf numFmtId="167" fontId="27" fillId="24" borderId="71" xfId="46" applyNumberFormat="1" applyFont="1" applyFill="1" applyBorder="1" applyAlignment="1">
      <alignment horizontal="center" vertical="center" wrapText="1"/>
    </xf>
    <xf numFmtId="0" fontId="25" fillId="33" borderId="41" xfId="46" applyFont="1" applyFill="1" applyBorder="1" applyAlignment="1">
      <alignment vertical="center"/>
    </xf>
    <xf numFmtId="0" fontId="27" fillId="24" borderId="56" xfId="46" applyFont="1" applyFill="1" applyBorder="1" applyAlignment="1">
      <alignment horizontal="center" vertical="center" wrapText="1"/>
    </xf>
    <xf numFmtId="167" fontId="27" fillId="0" borderId="33" xfId="46" applyNumberFormat="1" applyFont="1" applyBorder="1" applyAlignment="1">
      <alignment horizontal="center" vertical="center" wrapText="1"/>
    </xf>
    <xf numFmtId="167" fontId="27" fillId="31" borderId="33" xfId="46" applyNumberFormat="1" applyFont="1" applyFill="1" applyBorder="1" applyAlignment="1">
      <alignment horizontal="center" vertical="center" wrapText="1"/>
    </xf>
    <xf numFmtId="166" fontId="27" fillId="0" borderId="14" xfId="46" quotePrefix="1" applyNumberFormat="1" applyFont="1" applyBorder="1" applyAlignment="1">
      <alignment horizontal="center" vertical="center" wrapText="1"/>
    </xf>
    <xf numFmtId="166" fontId="27" fillId="0" borderId="31" xfId="46" quotePrefix="1" applyNumberFormat="1" applyFont="1" applyBorder="1" applyAlignment="1">
      <alignment horizontal="center" vertical="center" wrapText="1"/>
    </xf>
    <xf numFmtId="167" fontId="27" fillId="0" borderId="70" xfId="46" applyNumberFormat="1" applyFont="1" applyBorder="1" applyAlignment="1">
      <alignment horizontal="center" vertical="center" wrapText="1"/>
    </xf>
    <xf numFmtId="167" fontId="27" fillId="31" borderId="55" xfId="46" applyNumberFormat="1" applyFont="1" applyFill="1" applyBorder="1" applyAlignment="1">
      <alignment horizontal="center" vertical="center" wrapText="1"/>
    </xf>
    <xf numFmtId="167" fontId="27" fillId="0" borderId="55" xfId="46" applyNumberFormat="1" applyFont="1" applyBorder="1" applyAlignment="1">
      <alignment horizontal="center" vertical="center" wrapText="1"/>
    </xf>
    <xf numFmtId="167" fontId="27" fillId="0" borderId="71" xfId="46" applyNumberFormat="1" applyFont="1" applyBorder="1" applyAlignment="1">
      <alignment horizontal="center" vertical="center" wrapText="1"/>
    </xf>
    <xf numFmtId="166" fontId="27" fillId="0" borderId="74" xfId="46" quotePrefix="1" applyNumberFormat="1" applyFont="1" applyBorder="1" applyAlignment="1">
      <alignment vertical="center" wrapText="1"/>
    </xf>
    <xf numFmtId="0" fontId="25" fillId="33" borderId="22" xfId="46" applyFont="1" applyFill="1" applyBorder="1" applyAlignment="1">
      <alignment horizontal="center" vertical="center"/>
    </xf>
    <xf numFmtId="0" fontId="27" fillId="24" borderId="20" xfId="46" applyFont="1" applyFill="1" applyBorder="1" applyAlignment="1">
      <alignment horizontal="center" vertical="center" wrapText="1"/>
    </xf>
    <xf numFmtId="167" fontId="27" fillId="24" borderId="54" xfId="46" applyNumberFormat="1" applyFont="1" applyFill="1" applyBorder="1" applyAlignment="1">
      <alignment horizontal="center" vertical="center" wrapText="1"/>
    </xf>
    <xf numFmtId="167" fontId="27" fillId="24" borderId="42" xfId="46" applyNumberFormat="1" applyFont="1" applyFill="1" applyBorder="1" applyAlignment="1">
      <alignment horizontal="center" vertical="center" wrapText="1"/>
    </xf>
    <xf numFmtId="167" fontId="27" fillId="24" borderId="56" xfId="46" applyNumberFormat="1" applyFont="1" applyFill="1" applyBorder="1" applyAlignment="1">
      <alignment horizontal="center" vertical="center" wrapText="1"/>
    </xf>
    <xf numFmtId="167" fontId="27" fillId="24" borderId="43" xfId="46" applyNumberFormat="1" applyFont="1" applyFill="1" applyBorder="1" applyAlignment="1">
      <alignment horizontal="center" vertical="center" wrapText="1"/>
    </xf>
    <xf numFmtId="167" fontId="27" fillId="25" borderId="52" xfId="46" applyNumberFormat="1" applyFont="1" applyFill="1" applyBorder="1" applyAlignment="1">
      <alignment horizontal="center" vertical="center" wrapText="1"/>
    </xf>
    <xf numFmtId="167" fontId="27" fillId="25" borderId="13" xfId="46" applyNumberFormat="1" applyFont="1" applyFill="1" applyBorder="1" applyAlignment="1">
      <alignment horizontal="center" vertical="center" wrapText="1"/>
    </xf>
    <xf numFmtId="167" fontId="27" fillId="25" borderId="43" xfId="46" applyNumberFormat="1" applyFont="1" applyFill="1" applyBorder="1" applyAlignment="1">
      <alignment horizontal="center" vertical="center" wrapText="1"/>
    </xf>
    <xf numFmtId="167" fontId="27" fillId="25" borderId="50" xfId="46" applyNumberFormat="1" applyFont="1" applyFill="1" applyBorder="1" applyAlignment="1">
      <alignment horizontal="center" vertical="center" wrapText="1"/>
    </xf>
    <xf numFmtId="0" fontId="25" fillId="33" borderId="41" xfId="46" applyFont="1" applyFill="1" applyBorder="1" applyAlignment="1">
      <alignment horizontal="center" vertical="center"/>
    </xf>
    <xf numFmtId="0" fontId="25" fillId="33" borderId="18" xfId="46" applyFont="1" applyFill="1" applyBorder="1" applyAlignment="1">
      <alignment horizontal="center" vertical="center"/>
    </xf>
    <xf numFmtId="0" fontId="27" fillId="24" borderId="28" xfId="46" applyFont="1" applyFill="1" applyBorder="1" applyAlignment="1">
      <alignment horizontal="center" vertical="center" wrapText="1"/>
    </xf>
    <xf numFmtId="49" fontId="27" fillId="0" borderId="12" xfId="46" applyNumberFormat="1" applyFont="1" applyBorder="1" applyAlignment="1">
      <alignment horizontal="center" vertical="center" wrapText="1"/>
    </xf>
    <xf numFmtId="167" fontId="27" fillId="26" borderId="12" xfId="46" applyNumberFormat="1" applyFont="1" applyFill="1" applyBorder="1" applyAlignment="1">
      <alignment horizontal="center" vertical="center" wrapText="1"/>
    </xf>
    <xf numFmtId="167" fontId="27" fillId="26" borderId="26" xfId="46" applyNumberFormat="1" applyFont="1" applyFill="1" applyBorder="1" applyAlignment="1">
      <alignment horizontal="center" vertical="center" wrapText="1"/>
    </xf>
    <xf numFmtId="167" fontId="27" fillId="28" borderId="40" xfId="46" applyNumberFormat="1" applyFont="1" applyFill="1" applyBorder="1" applyAlignment="1">
      <alignment horizontal="center" vertical="center" wrapText="1"/>
    </xf>
    <xf numFmtId="167" fontId="27" fillId="26" borderId="14" xfId="46" applyNumberFormat="1" applyFont="1" applyFill="1" applyBorder="1" applyAlignment="1">
      <alignment horizontal="center" vertical="center" wrapText="1"/>
    </xf>
    <xf numFmtId="167" fontId="27" fillId="26" borderId="28" xfId="46" applyNumberFormat="1" applyFont="1" applyFill="1" applyBorder="1" applyAlignment="1">
      <alignment horizontal="center" vertical="center" wrapText="1"/>
    </xf>
    <xf numFmtId="167" fontId="27" fillId="26" borderId="59" xfId="46" applyNumberFormat="1" applyFont="1" applyFill="1" applyBorder="1" applyAlignment="1">
      <alignment horizontal="center" vertical="center" wrapText="1"/>
    </xf>
    <xf numFmtId="167" fontId="27" fillId="26" borderId="23" xfId="46" applyNumberFormat="1" applyFont="1" applyFill="1" applyBorder="1" applyAlignment="1">
      <alignment horizontal="center" vertical="center" wrapText="1"/>
    </xf>
    <xf numFmtId="167" fontId="27" fillId="26" borderId="31" xfId="46" applyNumberFormat="1" applyFont="1" applyFill="1" applyBorder="1" applyAlignment="1">
      <alignment horizontal="center" vertical="center" wrapText="1"/>
    </xf>
    <xf numFmtId="167" fontId="27" fillId="26" borderId="19" xfId="46" applyNumberFormat="1" applyFont="1" applyFill="1" applyBorder="1" applyAlignment="1">
      <alignment horizontal="center" vertical="center" wrapText="1"/>
    </xf>
    <xf numFmtId="1" fontId="27" fillId="0" borderId="17" xfId="46" applyNumberFormat="1" applyFont="1" applyBorder="1" applyAlignment="1">
      <alignment vertical="center" wrapText="1"/>
    </xf>
    <xf numFmtId="167" fontId="27" fillId="28" borderId="39" xfId="46" applyNumberFormat="1" applyFont="1" applyFill="1" applyBorder="1" applyAlignment="1">
      <alignment horizontal="center" vertical="center" wrapText="1"/>
    </xf>
    <xf numFmtId="167" fontId="27" fillId="0" borderId="41" xfId="46" applyNumberFormat="1" applyFont="1" applyBorder="1" applyAlignment="1">
      <alignment horizontal="center" vertical="center" wrapText="1"/>
    </xf>
    <xf numFmtId="167" fontId="27" fillId="26" borderId="42" xfId="46" applyNumberFormat="1" applyFont="1" applyFill="1" applyBorder="1" applyAlignment="1">
      <alignment horizontal="center" vertical="center" wrapText="1"/>
    </xf>
    <xf numFmtId="167" fontId="27" fillId="26" borderId="43" xfId="46" applyNumberFormat="1" applyFont="1" applyFill="1" applyBorder="1" applyAlignment="1">
      <alignment horizontal="center" vertical="center" wrapText="1"/>
    </xf>
    <xf numFmtId="14" fontId="27" fillId="0" borderId="42" xfId="46" applyNumberFormat="1" applyFont="1" applyBorder="1" applyAlignment="1">
      <alignment horizontal="center" vertical="center" wrapText="1"/>
    </xf>
    <xf numFmtId="0" fontId="27" fillId="0" borderId="43" xfId="46" applyFont="1" applyBorder="1" applyAlignment="1">
      <alignment horizontal="center" vertical="center" wrapText="1"/>
    </xf>
    <xf numFmtId="167" fontId="30" fillId="0" borderId="16" xfId="46" applyNumberFormat="1" applyFont="1" applyBorder="1" applyAlignment="1">
      <alignment horizontal="center" vertical="center" wrapText="1"/>
    </xf>
    <xf numFmtId="167" fontId="30" fillId="26" borderId="14" xfId="46" applyNumberFormat="1" applyFont="1" applyFill="1" applyBorder="1" applyAlignment="1">
      <alignment horizontal="center" vertical="center" wrapText="1"/>
    </xf>
    <xf numFmtId="167" fontId="30" fillId="26" borderId="17" xfId="46" applyNumberFormat="1" applyFont="1" applyFill="1" applyBorder="1" applyAlignment="1">
      <alignment horizontal="center" vertical="center" wrapText="1"/>
    </xf>
    <xf numFmtId="167" fontId="30" fillId="31" borderId="41" xfId="46" applyNumberFormat="1" applyFont="1" applyFill="1" applyBorder="1" applyAlignment="1">
      <alignment horizontal="center" vertical="center" wrapText="1"/>
    </xf>
    <xf numFmtId="167" fontId="30" fillId="31" borderId="42" xfId="46" applyNumberFormat="1" applyFont="1" applyFill="1" applyBorder="1" applyAlignment="1">
      <alignment horizontal="center" vertical="center" wrapText="1"/>
    </xf>
    <xf numFmtId="167" fontId="30" fillId="31" borderId="43" xfId="46" applyNumberFormat="1" applyFont="1" applyFill="1" applyBorder="1" applyAlignment="1">
      <alignment horizontal="center" vertical="center" wrapText="1"/>
    </xf>
    <xf numFmtId="0" fontId="28" fillId="31" borderId="26" xfId="46" applyFont="1" applyFill="1" applyBorder="1" applyAlignment="1">
      <alignment horizontal="center" vertical="center" wrapText="1"/>
    </xf>
    <xf numFmtId="0" fontId="27" fillId="31" borderId="19" xfId="46" applyFont="1" applyFill="1" applyBorder="1" applyAlignment="1">
      <alignment horizontal="center" vertical="center" wrapText="1"/>
    </xf>
    <xf numFmtId="167" fontId="27" fillId="0" borderId="32" xfId="46" applyNumberFormat="1" applyFont="1" applyBorder="1" applyAlignment="1">
      <alignment horizontal="center" vertical="center" wrapText="1"/>
    </xf>
    <xf numFmtId="167" fontId="27" fillId="0" borderId="36" xfId="46" applyNumberFormat="1" applyFont="1" applyBorder="1" applyAlignment="1">
      <alignment horizontal="center" vertical="center" wrapText="1"/>
    </xf>
    <xf numFmtId="167" fontId="28" fillId="31" borderId="58" xfId="46" applyNumberFormat="1" applyFont="1" applyFill="1" applyBorder="1" applyAlignment="1">
      <alignment horizontal="center" vertical="center" wrapText="1"/>
    </xf>
    <xf numFmtId="167" fontId="28" fillId="31" borderId="59" xfId="46" applyNumberFormat="1" applyFont="1" applyFill="1" applyBorder="1" applyAlignment="1">
      <alignment horizontal="center" vertical="center" wrapText="1"/>
    </xf>
    <xf numFmtId="167" fontId="28" fillId="31" borderId="23" xfId="46" applyNumberFormat="1" applyFont="1" applyFill="1" applyBorder="1" applyAlignment="1">
      <alignment horizontal="center" vertical="center" wrapText="1"/>
    </xf>
    <xf numFmtId="14" fontId="27" fillId="31" borderId="59" xfId="46" applyNumberFormat="1" applyFont="1" applyFill="1" applyBorder="1" applyAlignment="1">
      <alignment horizontal="center" vertical="center" wrapText="1"/>
    </xf>
    <xf numFmtId="167" fontId="27" fillId="31" borderId="70" xfId="46" applyNumberFormat="1" applyFont="1" applyFill="1" applyBorder="1" applyAlignment="1">
      <alignment horizontal="center" vertical="center" wrapText="1"/>
    </xf>
    <xf numFmtId="167" fontId="27" fillId="31" borderId="71" xfId="46" applyNumberFormat="1" applyFont="1" applyFill="1" applyBorder="1" applyAlignment="1">
      <alignment horizontal="center" vertical="center" wrapText="1"/>
    </xf>
    <xf numFmtId="0" fontId="27" fillId="0" borderId="59" xfId="46" applyFont="1" applyBorder="1" applyAlignment="1">
      <alignment horizontal="right" vertical="center" wrapText="1"/>
    </xf>
    <xf numFmtId="0" fontId="27" fillId="24" borderId="23" xfId="46" applyFont="1" applyFill="1" applyBorder="1" applyAlignment="1">
      <alignment horizontal="center" vertical="center"/>
    </xf>
    <xf numFmtId="0" fontId="27" fillId="33" borderId="18" xfId="46" applyFont="1" applyFill="1" applyBorder="1" applyAlignment="1">
      <alignment horizontal="center" vertical="center"/>
    </xf>
    <xf numFmtId="167" fontId="27" fillId="25" borderId="41" xfId="46" applyNumberFormat="1" applyFont="1" applyFill="1" applyBorder="1" applyAlignment="1">
      <alignment horizontal="center" vertical="center" wrapText="1"/>
    </xf>
    <xf numFmtId="167" fontId="27" fillId="25" borderId="42" xfId="46" applyNumberFormat="1" applyFont="1" applyFill="1" applyBorder="1" applyAlignment="1">
      <alignment horizontal="center" vertical="center" wrapText="1"/>
    </xf>
    <xf numFmtId="167" fontId="26" fillId="27" borderId="38" xfId="46" applyNumberFormat="1" applyFont="1" applyFill="1" applyBorder="1" applyAlignment="1">
      <alignment horizontal="center" vertical="center" wrapText="1"/>
    </xf>
    <xf numFmtId="167" fontId="26" fillId="27" borderId="42" xfId="46" applyNumberFormat="1" applyFont="1" applyFill="1" applyBorder="1" applyAlignment="1">
      <alignment horizontal="center" vertical="center" wrapText="1"/>
    </xf>
    <xf numFmtId="167" fontId="26" fillId="27" borderId="41" xfId="46" applyNumberFormat="1" applyFont="1" applyFill="1" applyBorder="1" applyAlignment="1">
      <alignment horizontal="center" vertical="center" wrapText="1"/>
    </xf>
    <xf numFmtId="167" fontId="26" fillId="27" borderId="43" xfId="46" applyNumberFormat="1" applyFont="1" applyFill="1" applyBorder="1" applyAlignment="1">
      <alignment horizontal="center" vertical="center" wrapText="1"/>
    </xf>
    <xf numFmtId="167" fontId="26" fillId="0" borderId="16" xfId="46" applyNumberFormat="1" applyFont="1" applyBorder="1" applyAlignment="1">
      <alignment horizontal="center" vertical="center" wrapText="1"/>
    </xf>
    <xf numFmtId="167" fontId="26" fillId="0" borderId="31" xfId="46" applyNumberFormat="1" applyFont="1" applyBorder="1" applyAlignment="1">
      <alignment horizontal="center" vertical="center" wrapText="1"/>
    </xf>
    <xf numFmtId="167" fontId="26" fillId="0" borderId="25" xfId="46" applyNumberFormat="1" applyFont="1" applyBorder="1" applyAlignment="1">
      <alignment horizontal="center" vertical="center" wrapText="1"/>
    </xf>
    <xf numFmtId="167" fontId="26" fillId="0" borderId="12" xfId="46" applyNumberFormat="1" applyFont="1" applyBorder="1" applyAlignment="1">
      <alignment horizontal="center" vertical="center" wrapText="1"/>
    </xf>
    <xf numFmtId="167" fontId="26" fillId="0" borderId="26" xfId="46" applyNumberFormat="1" applyFont="1" applyBorder="1" applyAlignment="1">
      <alignment horizontal="center" vertical="center" wrapText="1"/>
    </xf>
    <xf numFmtId="167" fontId="26" fillId="0" borderId="11" xfId="46" applyNumberFormat="1" applyFont="1" applyBorder="1" applyAlignment="1">
      <alignment horizontal="center" vertical="center" wrapText="1"/>
    </xf>
    <xf numFmtId="167" fontId="26" fillId="0" borderId="14" xfId="46" applyNumberFormat="1" applyFont="1" applyBorder="1" applyAlignment="1">
      <alignment horizontal="center" vertical="center" wrapText="1"/>
    </xf>
    <xf numFmtId="167" fontId="26" fillId="0" borderId="28" xfId="46" applyNumberFormat="1" applyFont="1" applyBorder="1" applyAlignment="1">
      <alignment horizontal="center" vertical="center" wrapText="1"/>
    </xf>
    <xf numFmtId="167" fontId="26" fillId="0" borderId="24" xfId="46" applyNumberFormat="1" applyFont="1" applyBorder="1" applyAlignment="1">
      <alignment horizontal="center" vertical="center" wrapText="1"/>
    </xf>
    <xf numFmtId="167" fontId="26" fillId="0" borderId="20" xfId="46" applyNumberFormat="1" applyFont="1" applyBorder="1" applyAlignment="1">
      <alignment horizontal="center" vertical="center" wrapText="1"/>
    </xf>
    <xf numFmtId="167" fontId="26" fillId="0" borderId="15" xfId="46" applyNumberFormat="1" applyFont="1" applyBorder="1" applyAlignment="1">
      <alignment horizontal="center" vertical="center" wrapText="1"/>
    </xf>
    <xf numFmtId="167" fontId="26" fillId="0" borderId="48" xfId="46" applyNumberFormat="1" applyFont="1" applyBorder="1" applyAlignment="1">
      <alignment horizontal="center" vertical="center" wrapText="1"/>
    </xf>
    <xf numFmtId="167" fontId="26" fillId="0" borderId="29" xfId="46" applyNumberFormat="1" applyFont="1" applyBorder="1" applyAlignment="1">
      <alignment horizontal="center" vertical="center" wrapText="1"/>
    </xf>
    <xf numFmtId="167" fontId="26" fillId="0" borderId="34" xfId="46" applyNumberFormat="1" applyFont="1" applyBorder="1" applyAlignment="1">
      <alignment horizontal="center" vertical="center" wrapText="1"/>
    </xf>
    <xf numFmtId="167" fontId="26" fillId="0" borderId="70" xfId="46" applyNumberFormat="1" applyFont="1" applyBorder="1" applyAlignment="1">
      <alignment horizontal="center" vertical="center" wrapText="1"/>
    </xf>
    <xf numFmtId="167" fontId="26" fillId="0" borderId="55" xfId="46" applyNumberFormat="1" applyFont="1" applyBorder="1" applyAlignment="1">
      <alignment horizontal="center" vertical="center" wrapText="1"/>
    </xf>
    <xf numFmtId="167" fontId="26" fillId="0" borderId="71" xfId="46" applyNumberFormat="1" applyFont="1" applyBorder="1" applyAlignment="1">
      <alignment horizontal="center" vertical="center" wrapText="1"/>
    </xf>
    <xf numFmtId="0" fontId="25" fillId="0" borderId="0" xfId="46" applyFont="1" applyAlignment="1">
      <alignment horizontal="center" vertical="center" wrapText="1"/>
    </xf>
    <xf numFmtId="0" fontId="27" fillId="0" borderId="0" xfId="46" applyFont="1" applyAlignment="1">
      <alignment horizontal="right" vertical="center" wrapText="1"/>
    </xf>
    <xf numFmtId="0" fontId="25" fillId="0" borderId="0" xfId="46" applyFont="1" applyAlignment="1">
      <alignment horizontal="right" vertical="center" wrapText="1"/>
    </xf>
    <xf numFmtId="0" fontId="25" fillId="0" borderId="0" xfId="46" applyFont="1" applyAlignment="1">
      <alignment horizontal="center"/>
    </xf>
    <xf numFmtId="165" fontId="25" fillId="0" borderId="0" xfId="46" applyNumberFormat="1" applyFont="1" applyAlignment="1">
      <alignment horizontal="left" vertical="center" wrapText="1"/>
    </xf>
    <xf numFmtId="0" fontId="25" fillId="0" borderId="0" xfId="46" applyFont="1" applyAlignment="1">
      <alignment vertical="center" wrapText="1"/>
    </xf>
    <xf numFmtId="165" fontId="25" fillId="0" borderId="0" xfId="46" applyNumberFormat="1" applyFont="1" applyAlignment="1">
      <alignment vertical="center" wrapText="1"/>
    </xf>
    <xf numFmtId="165" fontId="25" fillId="0" borderId="0" xfId="46" applyNumberFormat="1" applyFont="1"/>
    <xf numFmtId="0" fontId="27" fillId="0" borderId="0" xfId="46" applyFont="1" applyAlignment="1">
      <alignment horizontal="center" vertical="center"/>
    </xf>
    <xf numFmtId="167" fontId="26" fillId="0" borderId="0" xfId="46" applyNumberFormat="1" applyFont="1"/>
    <xf numFmtId="0" fontId="29" fillId="0" borderId="0" xfId="46" applyFont="1" applyAlignment="1">
      <alignment vertical="center" wrapText="1"/>
    </xf>
    <xf numFmtId="167" fontId="27" fillId="0" borderId="29" xfId="46" applyNumberFormat="1" applyFont="1" applyBorder="1" applyAlignment="1">
      <alignment horizontal="center" vertical="center" textRotation="90"/>
    </xf>
    <xf numFmtId="167" fontId="27" fillId="0" borderId="29" xfId="46" applyNumberFormat="1" applyFont="1" applyBorder="1" applyAlignment="1">
      <alignment horizontal="center" vertical="center" textRotation="90" wrapText="1"/>
    </xf>
    <xf numFmtId="0" fontId="27" fillId="25" borderId="63" xfId="46" applyFont="1" applyFill="1" applyBorder="1" applyAlignment="1">
      <alignment horizontal="left" vertical="center" wrapText="1"/>
    </xf>
    <xf numFmtId="0" fontId="27" fillId="25" borderId="70" xfId="46" applyFont="1" applyFill="1" applyBorder="1" applyAlignment="1">
      <alignment horizontal="center" vertical="center" wrapText="1"/>
    </xf>
    <xf numFmtId="0" fontId="27" fillId="24" borderId="74" xfId="46" applyFont="1" applyFill="1" applyBorder="1" applyAlignment="1">
      <alignment horizontal="center" vertical="center" wrapText="1"/>
    </xf>
    <xf numFmtId="167" fontId="27" fillId="0" borderId="52" xfId="46" applyNumberFormat="1" applyFont="1" applyBorder="1" applyAlignment="1">
      <alignment horizontal="center" vertical="center" wrapText="1"/>
    </xf>
    <xf numFmtId="0" fontId="27" fillId="25" borderId="22" xfId="46" applyFont="1" applyFill="1" applyBorder="1" applyAlignment="1">
      <alignment horizontal="center" vertical="center" wrapText="1"/>
    </xf>
    <xf numFmtId="0" fontId="27" fillId="24" borderId="34" xfId="46" applyFont="1" applyFill="1" applyBorder="1" applyAlignment="1">
      <alignment horizontal="center" vertical="center" wrapText="1"/>
    </xf>
    <xf numFmtId="167" fontId="27" fillId="24" borderId="58" xfId="46" applyNumberFormat="1" applyFont="1" applyFill="1" applyBorder="1" applyAlignment="1">
      <alignment horizontal="center" vertical="center" wrapText="1"/>
    </xf>
    <xf numFmtId="167" fontId="27" fillId="24" borderId="59" xfId="46" applyNumberFormat="1" applyFont="1" applyFill="1" applyBorder="1" applyAlignment="1">
      <alignment horizontal="center" vertical="center" wrapText="1"/>
    </xf>
    <xf numFmtId="167" fontId="27" fillId="24" borderId="23" xfId="46" applyNumberFormat="1" applyFont="1" applyFill="1" applyBorder="1" applyAlignment="1">
      <alignment horizontal="center" vertical="center" wrapText="1"/>
    </xf>
    <xf numFmtId="0" fontId="27" fillId="25" borderId="38" xfId="46" applyFont="1" applyFill="1" applyBorder="1" applyAlignment="1">
      <alignment horizontal="center" vertical="center" wrapText="1"/>
    </xf>
    <xf numFmtId="167" fontId="27" fillId="25" borderId="39" xfId="46" applyNumberFormat="1" applyFont="1" applyFill="1" applyBorder="1" applyAlignment="1">
      <alignment horizontal="center" vertical="center" wrapText="1"/>
    </xf>
    <xf numFmtId="0" fontId="27" fillId="25" borderId="63" xfId="46" applyFont="1" applyFill="1" applyBorder="1" applyAlignment="1">
      <alignment horizontal="center" vertical="center" wrapText="1"/>
    </xf>
    <xf numFmtId="0" fontId="27" fillId="25" borderId="41" xfId="46" applyFont="1" applyFill="1" applyBorder="1" applyAlignment="1">
      <alignment horizontal="center" vertical="center" wrapText="1"/>
    </xf>
    <xf numFmtId="0" fontId="27" fillId="24" borderId="74" xfId="46" applyFont="1" applyFill="1" applyBorder="1" applyAlignment="1">
      <alignment horizontal="left" vertical="center" wrapText="1"/>
    </xf>
    <xf numFmtId="0" fontId="27" fillId="0" borderId="23" xfId="46" applyFont="1" applyBorder="1" applyAlignment="1">
      <alignment horizontal="center" vertical="center" wrapText="1"/>
    </xf>
    <xf numFmtId="0" fontId="34" fillId="0" borderId="0" xfId="46" applyFont="1" applyAlignment="1">
      <alignment vertical="center" wrapText="1"/>
    </xf>
    <xf numFmtId="0" fontId="27" fillId="31" borderId="34" xfId="46" applyFont="1" applyFill="1" applyBorder="1" applyAlignment="1">
      <alignment horizontal="center" vertical="center" wrapText="1"/>
    </xf>
    <xf numFmtId="167" fontId="27" fillId="31" borderId="48" xfId="46" applyNumberFormat="1" applyFont="1" applyFill="1" applyBorder="1" applyAlignment="1">
      <alignment horizontal="center" vertical="center" wrapText="1"/>
    </xf>
    <xf numFmtId="167" fontId="27" fillId="31" borderId="34" xfId="46" applyNumberFormat="1" applyFont="1" applyFill="1" applyBorder="1" applyAlignment="1">
      <alignment horizontal="center" vertical="center" wrapText="1"/>
    </xf>
    <xf numFmtId="165" fontId="27" fillId="31" borderId="25" xfId="46" applyNumberFormat="1" applyFont="1" applyFill="1" applyBorder="1" applyAlignment="1">
      <alignment horizontal="center" vertical="center" wrapText="1"/>
    </xf>
    <xf numFmtId="165" fontId="27" fillId="31" borderId="12" xfId="46" applyNumberFormat="1" applyFont="1" applyFill="1" applyBorder="1" applyAlignment="1">
      <alignment horizontal="center" vertical="center" wrapText="1"/>
    </xf>
    <xf numFmtId="165" fontId="27" fillId="31" borderId="79" xfId="46" applyNumberFormat="1" applyFont="1" applyFill="1" applyBorder="1" applyAlignment="1">
      <alignment horizontal="center" vertical="center" wrapText="1"/>
    </xf>
    <xf numFmtId="165" fontId="27" fillId="0" borderId="25" xfId="46" applyNumberFormat="1" applyFont="1" applyBorder="1" applyAlignment="1">
      <alignment horizontal="center" vertical="center" wrapText="1"/>
    </xf>
    <xf numFmtId="165" fontId="27" fillId="35" borderId="79" xfId="46" applyNumberFormat="1" applyFont="1" applyFill="1" applyBorder="1" applyAlignment="1">
      <alignment horizontal="center" vertical="center" wrapText="1"/>
    </xf>
    <xf numFmtId="0" fontId="29" fillId="36" borderId="0" xfId="46" applyFont="1" applyFill="1" applyAlignment="1">
      <alignment vertical="center" wrapText="1"/>
    </xf>
    <xf numFmtId="165" fontId="27" fillId="31" borderId="16" xfId="46" applyNumberFormat="1" applyFont="1" applyFill="1" applyBorder="1" applyAlignment="1">
      <alignment horizontal="center" vertical="center" wrapText="1"/>
    </xf>
    <xf numFmtId="165" fontId="27" fillId="31" borderId="14" xfId="46" applyNumberFormat="1" applyFont="1" applyFill="1" applyBorder="1" applyAlignment="1">
      <alignment horizontal="center" vertical="center" wrapText="1"/>
    </xf>
    <xf numFmtId="165" fontId="27" fillId="31" borderId="47" xfId="46" applyNumberFormat="1" applyFont="1" applyFill="1" applyBorder="1" applyAlignment="1">
      <alignment horizontal="center" vertical="center" wrapText="1"/>
    </xf>
    <xf numFmtId="165" fontId="27" fillId="31" borderId="11" xfId="46" applyNumberFormat="1" applyFont="1" applyFill="1" applyBorder="1" applyAlignment="1">
      <alignment horizontal="center" vertical="center" wrapText="1"/>
    </xf>
    <xf numFmtId="165" fontId="27" fillId="0" borderId="11" xfId="46" applyNumberFormat="1" applyFont="1" applyBorder="1" applyAlignment="1">
      <alignment horizontal="center" vertical="center" wrapText="1"/>
    </xf>
    <xf numFmtId="165" fontId="27" fillId="35" borderId="47" xfId="46" applyNumberFormat="1" applyFont="1" applyFill="1" applyBorder="1" applyAlignment="1">
      <alignment horizontal="center" vertical="center" wrapText="1"/>
    </xf>
    <xf numFmtId="165" fontId="27" fillId="31" borderId="28" xfId="46" applyNumberFormat="1" applyFont="1" applyFill="1" applyBorder="1" applyAlignment="1">
      <alignment horizontal="center" vertical="center" wrapText="1"/>
    </xf>
    <xf numFmtId="165" fontId="27" fillId="31" borderId="55" xfId="46" applyNumberFormat="1" applyFont="1" applyFill="1" applyBorder="1" applyAlignment="1">
      <alignment horizontal="center" vertical="center" wrapText="1"/>
    </xf>
    <xf numFmtId="165" fontId="27" fillId="31" borderId="51" xfId="46" applyNumberFormat="1" applyFont="1" applyFill="1" applyBorder="1" applyAlignment="1">
      <alignment horizontal="center" vertical="center" wrapText="1"/>
    </xf>
    <xf numFmtId="165" fontId="27" fillId="0" borderId="16" xfId="46" applyNumberFormat="1" applyFont="1" applyBorder="1" applyAlignment="1">
      <alignment horizontal="center" vertical="center" wrapText="1"/>
    </xf>
    <xf numFmtId="165" fontId="27" fillId="35" borderId="51" xfId="46" applyNumberFormat="1" applyFont="1" applyFill="1" applyBorder="1" applyAlignment="1">
      <alignment horizontal="center" vertical="center" wrapText="1"/>
    </xf>
    <xf numFmtId="165" fontId="27" fillId="31" borderId="26" xfId="46" applyNumberFormat="1" applyFont="1" applyFill="1" applyBorder="1" applyAlignment="1">
      <alignment horizontal="center" vertical="center" wrapText="1"/>
    </xf>
    <xf numFmtId="165" fontId="27" fillId="31" borderId="48" xfId="46" applyNumberFormat="1" applyFont="1" applyFill="1" applyBorder="1" applyAlignment="1">
      <alignment horizontal="center" vertical="center" wrapText="1"/>
    </xf>
    <xf numFmtId="165" fontId="27" fillId="31" borderId="29" xfId="46" applyNumberFormat="1" applyFont="1" applyFill="1" applyBorder="1" applyAlignment="1">
      <alignment horizontal="center" vertical="center" wrapText="1"/>
    </xf>
    <xf numFmtId="165" fontId="27" fillId="31" borderId="78" xfId="46" applyNumberFormat="1" applyFont="1" applyFill="1" applyBorder="1" applyAlignment="1">
      <alignment horizontal="center" vertical="center" wrapText="1"/>
    </xf>
    <xf numFmtId="165" fontId="27" fillId="31" borderId="34" xfId="46" applyNumberFormat="1" applyFont="1" applyFill="1" applyBorder="1" applyAlignment="1">
      <alignment horizontal="center" vertical="center" wrapText="1"/>
    </xf>
    <xf numFmtId="167" fontId="27" fillId="24" borderId="63" xfId="46" applyNumberFormat="1" applyFont="1" applyFill="1" applyBorder="1" applyAlignment="1">
      <alignment horizontal="center" vertical="center" wrapText="1"/>
    </xf>
    <xf numFmtId="167" fontId="27" fillId="28" borderId="49" xfId="46" applyNumberFormat="1" applyFont="1" applyFill="1" applyBorder="1" applyAlignment="1">
      <alignment horizontal="center" vertical="center" wrapText="1"/>
    </xf>
    <xf numFmtId="0" fontId="27" fillId="25" borderId="53" xfId="46" applyFont="1" applyFill="1" applyBorder="1" applyAlignment="1">
      <alignment horizontal="center" vertical="center" wrapText="1"/>
    </xf>
    <xf numFmtId="0" fontId="27" fillId="24" borderId="50" xfId="46" applyFont="1" applyFill="1" applyBorder="1" applyAlignment="1">
      <alignment horizontal="center" vertical="center" wrapText="1"/>
    </xf>
    <xf numFmtId="167" fontId="27" fillId="24" borderId="40" xfId="46" applyNumberFormat="1" applyFont="1" applyFill="1" applyBorder="1" applyAlignment="1">
      <alignment horizontal="center" vertical="center" wrapText="1"/>
    </xf>
    <xf numFmtId="0" fontId="27" fillId="25" borderId="80" xfId="46" applyFont="1" applyFill="1" applyBorder="1" applyAlignment="1">
      <alignment horizontal="center" vertical="center" wrapText="1"/>
    </xf>
    <xf numFmtId="0" fontId="27" fillId="0" borderId="32" xfId="46" applyFont="1" applyBorder="1" applyAlignment="1">
      <alignment horizontal="center" vertical="center" wrapText="1"/>
    </xf>
    <xf numFmtId="0" fontId="29" fillId="24" borderId="0" xfId="46" applyFont="1" applyFill="1" applyAlignment="1">
      <alignment vertical="center" wrapText="1"/>
    </xf>
    <xf numFmtId="0" fontId="27" fillId="0" borderId="36" xfId="46" applyFont="1" applyBorder="1" applyAlignment="1">
      <alignment horizontal="center" vertical="center" wrapText="1"/>
    </xf>
    <xf numFmtId="167" fontId="27" fillId="24" borderId="49" xfId="46" applyNumberFormat="1" applyFont="1" applyFill="1" applyBorder="1" applyAlignment="1">
      <alignment horizontal="center" vertical="center" wrapText="1"/>
    </xf>
    <xf numFmtId="167" fontId="27" fillId="24" borderId="13" xfId="46" applyNumberFormat="1" applyFont="1" applyFill="1" applyBorder="1" applyAlignment="1">
      <alignment horizontal="center" vertical="center" wrapText="1"/>
    </xf>
    <xf numFmtId="0" fontId="27" fillId="24" borderId="62" xfId="46" applyFont="1" applyFill="1" applyBorder="1" applyAlignment="1">
      <alignment horizontal="center" vertical="center" wrapText="1"/>
    </xf>
    <xf numFmtId="167" fontId="27" fillId="31" borderId="27" xfId="46" applyNumberFormat="1" applyFont="1" applyFill="1" applyBorder="1" applyAlignment="1">
      <alignment horizontal="center" vertical="center" wrapText="1"/>
    </xf>
    <xf numFmtId="0" fontId="27" fillId="24" borderId="43" xfId="46" applyFont="1" applyFill="1" applyBorder="1" applyAlignment="1">
      <alignment horizontal="center" vertical="center" wrapText="1"/>
    </xf>
    <xf numFmtId="167" fontId="27" fillId="24" borderId="38" xfId="46" applyNumberFormat="1" applyFont="1" applyFill="1" applyBorder="1" applyAlignment="1">
      <alignment horizontal="center" vertical="center" wrapText="1"/>
    </xf>
    <xf numFmtId="167" fontId="27" fillId="0" borderId="81" xfId="46" applyNumberFormat="1" applyFont="1" applyBorder="1" applyAlignment="1">
      <alignment horizontal="center" vertical="center" wrapText="1"/>
    </xf>
    <xf numFmtId="167" fontId="27" fillId="0" borderId="63" xfId="46" applyNumberFormat="1" applyFont="1" applyBorder="1" applyAlignment="1">
      <alignment horizontal="center" vertical="center" wrapText="1"/>
    </xf>
    <xf numFmtId="0" fontId="27" fillId="25" borderId="21" xfId="46" applyFont="1" applyFill="1" applyBorder="1" applyAlignment="1">
      <alignment horizontal="center" vertical="center" wrapText="1"/>
    </xf>
    <xf numFmtId="167" fontId="27" fillId="25" borderId="53" xfId="46" applyNumberFormat="1" applyFont="1" applyFill="1" applyBorder="1" applyAlignment="1">
      <alignment horizontal="center" vertical="center" wrapText="1"/>
    </xf>
    <xf numFmtId="167" fontId="27" fillId="25" borderId="44" xfId="46" applyNumberFormat="1" applyFont="1" applyFill="1" applyBorder="1" applyAlignment="1">
      <alignment horizontal="center" vertical="center" wrapText="1"/>
    </xf>
    <xf numFmtId="167" fontId="27" fillId="25" borderId="60" xfId="46" applyNumberFormat="1" applyFont="1" applyFill="1" applyBorder="1" applyAlignment="1">
      <alignment horizontal="center" vertical="center" wrapText="1"/>
    </xf>
    <xf numFmtId="0" fontId="27" fillId="25" borderId="82" xfId="46" applyFont="1" applyFill="1" applyBorder="1" applyAlignment="1">
      <alignment horizontal="center" vertical="center" wrapText="1"/>
    </xf>
    <xf numFmtId="0" fontId="27" fillId="24" borderId="63" xfId="46" applyFont="1" applyFill="1" applyBorder="1" applyAlignment="1">
      <alignment horizontal="center" vertical="center" wrapText="1"/>
    </xf>
    <xf numFmtId="0" fontId="27" fillId="0" borderId="20" xfId="46" applyFont="1" applyBorder="1" applyAlignment="1">
      <alignment horizontal="center" vertical="center" wrapText="1"/>
    </xf>
    <xf numFmtId="0" fontId="27" fillId="24" borderId="17" xfId="46" applyFont="1" applyFill="1" applyBorder="1" applyAlignment="1">
      <alignment horizontal="center" vertical="center" wrapText="1"/>
    </xf>
    <xf numFmtId="0" fontId="25" fillId="31" borderId="0" xfId="46" applyFont="1" applyFill="1" applyAlignment="1">
      <alignment vertical="center" wrapText="1"/>
    </xf>
    <xf numFmtId="167" fontId="27" fillId="28" borderId="38" xfId="46" applyNumberFormat="1" applyFont="1" applyFill="1" applyBorder="1" applyAlignment="1">
      <alignment horizontal="center" vertical="center" wrapText="1"/>
    </xf>
    <xf numFmtId="167" fontId="27" fillId="24" borderId="22" xfId="46" applyNumberFormat="1" applyFont="1" applyFill="1" applyBorder="1" applyAlignment="1">
      <alignment horizontal="center" vertical="center" wrapText="1"/>
    </xf>
    <xf numFmtId="0" fontId="27" fillId="25" borderId="83" xfId="46" applyFont="1" applyFill="1" applyBorder="1" applyAlignment="1">
      <alignment horizontal="center" vertical="center" wrapText="1"/>
    </xf>
    <xf numFmtId="167" fontId="26" fillId="29" borderId="38" xfId="46" applyNumberFormat="1" applyFont="1" applyFill="1" applyBorder="1" applyAlignment="1">
      <alignment horizontal="center" vertical="center" wrapText="1"/>
    </xf>
    <xf numFmtId="167" fontId="26" fillId="29" borderId="42" xfId="46" applyNumberFormat="1" applyFont="1" applyFill="1" applyBorder="1" applyAlignment="1">
      <alignment horizontal="center" vertical="center" wrapText="1"/>
    </xf>
    <xf numFmtId="167" fontId="26" fillId="29" borderId="40" xfId="46" applyNumberFormat="1" applyFont="1" applyFill="1" applyBorder="1" applyAlignment="1">
      <alignment horizontal="center" vertical="center" wrapText="1"/>
    </xf>
    <xf numFmtId="167" fontId="25" fillId="0" borderId="0" xfId="46" applyNumberFormat="1" applyFont="1" applyAlignment="1">
      <alignment vertical="center" wrapText="1"/>
    </xf>
    <xf numFmtId="167" fontId="26" fillId="0" borderId="81" xfId="46" applyNumberFormat="1" applyFont="1" applyBorder="1" applyAlignment="1">
      <alignment horizontal="center" vertical="center" wrapText="1"/>
    </xf>
    <xf numFmtId="167" fontId="26" fillId="0" borderId="18" xfId="46" applyNumberFormat="1" applyFont="1" applyBorder="1" applyAlignment="1">
      <alignment horizontal="center" vertical="center" wrapText="1"/>
    </xf>
    <xf numFmtId="167" fontId="26" fillId="0" borderId="46" xfId="46" applyNumberFormat="1" applyFont="1" applyBorder="1" applyAlignment="1">
      <alignment horizontal="center" vertical="center" wrapText="1"/>
    </xf>
    <xf numFmtId="167" fontId="26" fillId="0" borderId="47" xfId="46" applyNumberFormat="1" applyFont="1" applyBorder="1" applyAlignment="1">
      <alignment horizontal="center" vertical="center" wrapText="1"/>
    </xf>
    <xf numFmtId="167" fontId="26" fillId="0" borderId="36" xfId="46" applyNumberFormat="1" applyFont="1" applyBorder="1" applyAlignment="1">
      <alignment horizontal="center" vertical="center" wrapText="1"/>
    </xf>
    <xf numFmtId="167" fontId="26" fillId="0" borderId="83" xfId="46" applyNumberFormat="1" applyFont="1" applyBorder="1" applyAlignment="1">
      <alignment horizontal="center" vertical="center" wrapText="1"/>
    </xf>
    <xf numFmtId="167" fontId="26" fillId="0" borderId="80" xfId="46" applyNumberFormat="1" applyFont="1" applyBorder="1" applyAlignment="1">
      <alignment horizontal="center" vertical="center" wrapText="1"/>
    </xf>
    <xf numFmtId="167" fontId="26" fillId="0" borderId="38" xfId="46" applyNumberFormat="1" applyFont="1" applyBorder="1" applyAlignment="1">
      <alignment horizontal="center" vertical="center" wrapText="1"/>
    </xf>
    <xf numFmtId="167" fontId="26" fillId="0" borderId="42" xfId="46" applyNumberFormat="1" applyFont="1" applyBorder="1" applyAlignment="1">
      <alignment horizontal="center" vertical="center" wrapText="1"/>
    </xf>
    <xf numFmtId="167" fontId="26" fillId="0" borderId="39" xfId="46" applyNumberFormat="1" applyFont="1" applyBorder="1" applyAlignment="1">
      <alignment horizontal="center" vertical="center" wrapText="1"/>
    </xf>
    <xf numFmtId="167" fontId="26" fillId="0" borderId="41" xfId="46" applyNumberFormat="1" applyFont="1" applyBorder="1" applyAlignment="1">
      <alignment horizontal="center" vertical="center" wrapText="1"/>
    </xf>
    <xf numFmtId="167" fontId="26" fillId="0" borderId="54" xfId="46" applyNumberFormat="1" applyFont="1" applyBorder="1" applyAlignment="1">
      <alignment horizontal="center" vertical="center" wrapText="1"/>
    </xf>
    <xf numFmtId="167" fontId="26" fillId="0" borderId="56" xfId="46" applyNumberFormat="1" applyFont="1" applyBorder="1" applyAlignment="1">
      <alignment horizontal="center" vertical="center" wrapText="1"/>
    </xf>
    <xf numFmtId="167" fontId="26" fillId="0" borderId="43" xfId="46" applyNumberFormat="1" applyFont="1" applyBorder="1" applyAlignment="1">
      <alignment horizontal="center" vertical="center" wrapText="1"/>
    </xf>
    <xf numFmtId="0" fontId="5" fillId="0" borderId="60" xfId="46" applyBorder="1"/>
    <xf numFmtId="0" fontId="25" fillId="0" borderId="0" xfId="46" applyFont="1" applyAlignment="1">
      <alignment horizontal="left"/>
    </xf>
    <xf numFmtId="0" fontId="25" fillId="0" borderId="0" xfId="46" applyFont="1" applyAlignment="1">
      <alignment horizontal="center" vertical="center"/>
    </xf>
    <xf numFmtId="167" fontId="25" fillId="0" borderId="0" xfId="46" applyNumberFormat="1" applyFont="1" applyAlignment="1">
      <alignment horizontal="center" vertical="center"/>
    </xf>
    <xf numFmtId="0" fontId="25" fillId="0" borderId="0" xfId="46" applyFont="1" applyAlignment="1">
      <alignment horizontal="left" vertical="center" wrapText="1"/>
    </xf>
    <xf numFmtId="167" fontId="25" fillId="0" borderId="0" xfId="46" applyNumberFormat="1" applyFont="1" applyAlignment="1">
      <alignment horizontal="center" vertical="center" wrapText="1"/>
    </xf>
    <xf numFmtId="167" fontId="26" fillId="0" borderId="0" xfId="46" applyNumberFormat="1" applyFont="1" applyAlignment="1">
      <alignment vertical="center" wrapText="1"/>
    </xf>
    <xf numFmtId="167" fontId="27" fillId="0" borderId="0" xfId="46" applyNumberFormat="1" applyFont="1" applyAlignment="1">
      <alignment vertical="center" wrapText="1"/>
    </xf>
    <xf numFmtId="0" fontId="27" fillId="0" borderId="53" xfId="46" applyFont="1" applyBorder="1" applyAlignment="1">
      <alignment horizontal="center"/>
    </xf>
    <xf numFmtId="0" fontId="27" fillId="0" borderId="60" xfId="46" applyFont="1" applyBorder="1" applyAlignment="1">
      <alignment horizontal="center"/>
    </xf>
    <xf numFmtId="14" fontId="38" fillId="0" borderId="60" xfId="46" applyNumberFormat="1" applyFont="1" applyBorder="1" applyAlignment="1">
      <alignment horizontal="left" vertical="center"/>
    </xf>
    <xf numFmtId="0" fontId="27" fillId="0" borderId="60" xfId="46" applyFont="1" applyBorder="1"/>
    <xf numFmtId="167" fontId="27" fillId="0" borderId="60" xfId="46" applyNumberFormat="1" applyFont="1" applyBorder="1" applyAlignment="1">
      <alignment vertical="center" wrapText="1"/>
    </xf>
    <xf numFmtId="165" fontId="27" fillId="0" borderId="0" xfId="46" applyNumberFormat="1" applyFont="1"/>
    <xf numFmtId="167" fontId="27" fillId="0" borderId="64" xfId="46" applyNumberFormat="1" applyFont="1" applyBorder="1"/>
    <xf numFmtId="0" fontId="27" fillId="0" borderId="0" xfId="46" applyFont="1" applyAlignment="1">
      <alignment horizontal="left"/>
    </xf>
    <xf numFmtId="0" fontId="36" fillId="25" borderId="65" xfId="46" applyFont="1" applyFill="1" applyBorder="1" applyAlignment="1">
      <alignment horizontal="left" vertical="center" wrapText="1"/>
    </xf>
    <xf numFmtId="0" fontId="36" fillId="25" borderId="63" xfId="46" applyFont="1" applyFill="1" applyBorder="1" applyAlignment="1">
      <alignment horizontal="left" vertical="center" wrapText="1"/>
    </xf>
    <xf numFmtId="0" fontId="36" fillId="24" borderId="71" xfId="46" applyFont="1" applyFill="1" applyBorder="1" applyAlignment="1">
      <alignment horizontal="left" vertical="center" wrapText="1"/>
    </xf>
    <xf numFmtId="0" fontId="36" fillId="0" borderId="72" xfId="46" applyFont="1" applyBorder="1" applyAlignment="1">
      <alignment horizontal="center" vertical="center" wrapText="1"/>
    </xf>
    <xf numFmtId="0" fontId="36" fillId="31" borderId="76" xfId="46" applyFont="1" applyFill="1" applyBorder="1" applyAlignment="1">
      <alignment horizontal="center" vertical="center" wrapText="1"/>
    </xf>
    <xf numFmtId="167" fontId="27" fillId="0" borderId="22" xfId="46" applyNumberFormat="1" applyFont="1" applyBorder="1" applyAlignment="1">
      <alignment horizontal="center" vertical="center"/>
    </xf>
    <xf numFmtId="167" fontId="27" fillId="0" borderId="62" xfId="46" applyNumberFormat="1" applyFont="1" applyBorder="1" applyAlignment="1">
      <alignment horizontal="center" vertical="center"/>
    </xf>
    <xf numFmtId="167" fontId="27" fillId="31" borderId="23" xfId="46" applyNumberFormat="1" applyFont="1" applyFill="1" applyBorder="1" applyAlignment="1">
      <alignment horizontal="center" vertical="center"/>
    </xf>
    <xf numFmtId="167" fontId="27" fillId="0" borderId="23" xfId="46" applyNumberFormat="1" applyFont="1" applyBorder="1" applyAlignment="1">
      <alignment horizontal="center" vertical="center"/>
    </xf>
    <xf numFmtId="167" fontId="27" fillId="0" borderId="72" xfId="46" applyNumberFormat="1" applyFont="1" applyBorder="1" applyAlignment="1">
      <alignment horizontal="center" vertical="center"/>
    </xf>
    <xf numFmtId="167" fontId="27" fillId="0" borderId="59" xfId="46" applyNumberFormat="1" applyFont="1" applyBorder="1" applyAlignment="1">
      <alignment horizontal="center" vertical="center"/>
    </xf>
    <xf numFmtId="167" fontId="27" fillId="28" borderId="38" xfId="46" applyNumberFormat="1" applyFont="1" applyFill="1" applyBorder="1" applyAlignment="1">
      <alignment horizontal="center" vertical="center"/>
    </xf>
    <xf numFmtId="167" fontId="27" fillId="28" borderId="56" xfId="46" applyNumberFormat="1" applyFont="1" applyFill="1" applyBorder="1" applyAlignment="1">
      <alignment horizontal="center" vertical="center"/>
    </xf>
    <xf numFmtId="167" fontId="27" fillId="28" borderId="43" xfId="46" applyNumberFormat="1" applyFont="1" applyFill="1" applyBorder="1" applyAlignment="1">
      <alignment horizontal="center" vertical="center"/>
    </xf>
    <xf numFmtId="167" fontId="27" fillId="28" borderId="41" xfId="46" applyNumberFormat="1" applyFont="1" applyFill="1" applyBorder="1" applyAlignment="1">
      <alignment horizontal="center" vertical="center"/>
    </xf>
    <xf numFmtId="167" fontId="27" fillId="28" borderId="42" xfId="46" applyNumberFormat="1" applyFont="1" applyFill="1" applyBorder="1" applyAlignment="1">
      <alignment horizontal="center" vertical="center"/>
    </xf>
    <xf numFmtId="167" fontId="27" fillId="0" borderId="25" xfId="46" applyNumberFormat="1" applyFont="1" applyBorder="1" applyAlignment="1">
      <alignment horizontal="center" vertical="center"/>
    </xf>
    <xf numFmtId="167" fontId="27" fillId="0" borderId="35" xfId="46" applyNumberFormat="1" applyFont="1" applyBorder="1" applyAlignment="1">
      <alignment horizontal="center" vertical="center"/>
    </xf>
    <xf numFmtId="0" fontId="36" fillId="31" borderId="45" xfId="46" applyFont="1" applyFill="1" applyBorder="1" applyAlignment="1">
      <alignment horizontal="center" vertical="center" wrapText="1"/>
    </xf>
    <xf numFmtId="167" fontId="27" fillId="0" borderId="48" xfId="46" applyNumberFormat="1" applyFont="1" applyBorder="1" applyAlignment="1">
      <alignment horizontal="center" vertical="center"/>
    </xf>
    <xf numFmtId="167" fontId="27" fillId="0" borderId="78" xfId="46" applyNumberFormat="1" applyFont="1" applyBorder="1" applyAlignment="1">
      <alignment horizontal="center" vertical="center"/>
    </xf>
    <xf numFmtId="0" fontId="36" fillId="31" borderId="64" xfId="46" applyFont="1" applyFill="1" applyBorder="1" applyAlignment="1">
      <alignment horizontal="center" vertical="center" wrapText="1"/>
    </xf>
    <xf numFmtId="167" fontId="27" fillId="0" borderId="38" xfId="46" applyNumberFormat="1" applyFont="1" applyBorder="1" applyAlignment="1">
      <alignment horizontal="center" vertical="center"/>
    </xf>
    <xf numFmtId="167" fontId="27" fillId="0" borderId="56" xfId="46" applyNumberFormat="1" applyFont="1" applyBorder="1" applyAlignment="1">
      <alignment horizontal="center" vertical="center"/>
    </xf>
    <xf numFmtId="167" fontId="27" fillId="24" borderId="41" xfId="46" applyNumberFormat="1" applyFont="1" applyFill="1" applyBorder="1" applyAlignment="1">
      <alignment horizontal="center" vertical="center"/>
    </xf>
    <xf numFmtId="167" fontId="27" fillId="24" borderId="42" xfId="46" applyNumberFormat="1" applyFont="1" applyFill="1" applyBorder="1" applyAlignment="1">
      <alignment horizontal="center" vertical="center"/>
    </xf>
    <xf numFmtId="0" fontId="36" fillId="25" borderId="11" xfId="46" applyFont="1" applyFill="1" applyBorder="1" applyAlignment="1">
      <alignment horizontal="center" vertical="center" wrapText="1"/>
    </xf>
    <xf numFmtId="0" fontId="36" fillId="24" borderId="28" xfId="46" applyFont="1" applyFill="1" applyBorder="1" applyAlignment="1">
      <alignment horizontal="center" vertical="center" wrapText="1"/>
    </xf>
    <xf numFmtId="0" fontId="27" fillId="31" borderId="71" xfId="46" applyFont="1" applyFill="1" applyBorder="1" applyAlignment="1">
      <alignment horizontal="center" vertical="center" wrapText="1"/>
    </xf>
    <xf numFmtId="167" fontId="27" fillId="28" borderId="22" xfId="46" applyNumberFormat="1" applyFont="1" applyFill="1" applyBorder="1" applyAlignment="1">
      <alignment horizontal="center" vertical="center"/>
    </xf>
    <xf numFmtId="167" fontId="27" fillId="28" borderId="59" xfId="46" applyNumberFormat="1" applyFont="1" applyFill="1" applyBorder="1" applyAlignment="1">
      <alignment horizontal="center" vertical="center"/>
    </xf>
    <xf numFmtId="167" fontId="27" fillId="28" borderId="23" xfId="46" applyNumberFormat="1" applyFont="1" applyFill="1" applyBorder="1" applyAlignment="1">
      <alignment horizontal="center" vertical="center"/>
    </xf>
    <xf numFmtId="167" fontId="27" fillId="28" borderId="49" xfId="46" applyNumberFormat="1" applyFont="1" applyFill="1" applyBorder="1" applyAlignment="1">
      <alignment horizontal="center" vertical="center"/>
    </xf>
    <xf numFmtId="167" fontId="27" fillId="28" borderId="58" xfId="46" applyNumberFormat="1" applyFont="1" applyFill="1" applyBorder="1" applyAlignment="1">
      <alignment horizontal="center" vertical="center"/>
    </xf>
    <xf numFmtId="167" fontId="27" fillId="28" borderId="62" xfId="46" applyNumberFormat="1" applyFont="1" applyFill="1" applyBorder="1" applyAlignment="1">
      <alignment horizontal="center" vertical="center"/>
    </xf>
    <xf numFmtId="0" fontId="36" fillId="0" borderId="10" xfId="46" applyFont="1" applyBorder="1" applyAlignment="1">
      <alignment horizontal="center" vertical="center" wrapText="1"/>
    </xf>
    <xf numFmtId="167" fontId="27" fillId="28" borderId="63" xfId="46" applyNumberFormat="1" applyFont="1" applyFill="1" applyBorder="1" applyAlignment="1">
      <alignment horizontal="center" vertical="center"/>
    </xf>
    <xf numFmtId="167" fontId="27" fillId="28" borderId="55" xfId="46" applyNumberFormat="1" applyFont="1" applyFill="1" applyBorder="1" applyAlignment="1">
      <alignment horizontal="center" vertical="center"/>
    </xf>
    <xf numFmtId="167" fontId="27" fillId="0" borderId="17" xfId="46" applyNumberFormat="1" applyFont="1" applyBorder="1" applyAlignment="1">
      <alignment horizontal="center" vertical="center"/>
    </xf>
    <xf numFmtId="167" fontId="27" fillId="32" borderId="22" xfId="46" applyNumberFormat="1" applyFont="1" applyFill="1" applyBorder="1" applyAlignment="1">
      <alignment horizontal="center" vertical="center"/>
    </xf>
    <xf numFmtId="167" fontId="27" fillId="28" borderId="71" xfId="46" applyNumberFormat="1" applyFont="1" applyFill="1" applyBorder="1" applyAlignment="1">
      <alignment horizontal="center" vertical="center"/>
    </xf>
    <xf numFmtId="167" fontId="27" fillId="28" borderId="72" xfId="46" applyNumberFormat="1" applyFont="1" applyFill="1" applyBorder="1" applyAlignment="1">
      <alignment horizontal="center" vertical="center"/>
    </xf>
    <xf numFmtId="0" fontId="36" fillId="0" borderId="76" xfId="46" applyFont="1" applyBorder="1" applyAlignment="1">
      <alignment horizontal="center" vertical="center" wrapText="1"/>
    </xf>
    <xf numFmtId="167" fontId="27" fillId="28" borderId="74" xfId="46" applyNumberFormat="1" applyFont="1" applyFill="1" applyBorder="1" applyAlignment="1">
      <alignment horizontal="center" vertical="center"/>
    </xf>
    <xf numFmtId="167" fontId="27" fillId="28" borderId="37" xfId="46" applyNumberFormat="1" applyFont="1" applyFill="1" applyBorder="1" applyAlignment="1">
      <alignment horizontal="center" vertical="center"/>
    </xf>
    <xf numFmtId="0" fontId="36" fillId="34" borderId="71" xfId="46" applyFont="1" applyFill="1" applyBorder="1" applyAlignment="1">
      <alignment horizontal="center" vertical="center"/>
    </xf>
    <xf numFmtId="167" fontId="27" fillId="34" borderId="63" xfId="46" applyNumberFormat="1" applyFont="1" applyFill="1" applyBorder="1" applyAlignment="1">
      <alignment horizontal="center" vertical="center"/>
    </xf>
    <xf numFmtId="167" fontId="27" fillId="34" borderId="74" xfId="46" applyNumberFormat="1" applyFont="1" applyFill="1" applyBorder="1" applyAlignment="1">
      <alignment horizontal="center" vertical="center"/>
    </xf>
    <xf numFmtId="167" fontId="27" fillId="34" borderId="70" xfId="46" applyNumberFormat="1" applyFont="1" applyFill="1" applyBorder="1" applyAlignment="1">
      <alignment horizontal="center" vertical="center"/>
    </xf>
    <xf numFmtId="0" fontId="27" fillId="33" borderId="21" xfId="46" applyFont="1" applyFill="1" applyBorder="1" applyAlignment="1">
      <alignment horizontal="center" vertical="center"/>
    </xf>
    <xf numFmtId="167" fontId="27" fillId="33" borderId="41" xfId="46" applyNumberFormat="1" applyFont="1" applyFill="1" applyBorder="1" applyAlignment="1">
      <alignment horizontal="center" vertical="center"/>
    </xf>
    <xf numFmtId="167" fontId="27" fillId="33" borderId="42" xfId="46" applyNumberFormat="1" applyFont="1" applyFill="1" applyBorder="1" applyAlignment="1">
      <alignment horizontal="center" vertical="center"/>
    </xf>
    <xf numFmtId="0" fontId="27" fillId="33" borderId="66" xfId="46" applyFont="1" applyFill="1" applyBorder="1" applyAlignment="1">
      <alignment horizontal="center" vertical="center" wrapText="1"/>
    </xf>
    <xf numFmtId="0" fontId="27" fillId="33" borderId="18" xfId="46" applyFont="1" applyFill="1" applyBorder="1" applyAlignment="1">
      <alignment horizontal="center" vertical="center" wrapText="1"/>
    </xf>
    <xf numFmtId="0" fontId="36" fillId="34" borderId="19" xfId="46" applyFont="1" applyFill="1" applyBorder="1" applyAlignment="1">
      <alignment horizontal="center" vertical="center" wrapText="1"/>
    </xf>
    <xf numFmtId="0" fontId="36" fillId="31" borderId="23" xfId="46" applyFont="1" applyFill="1" applyBorder="1" applyAlignment="1">
      <alignment horizontal="center" vertical="center" wrapText="1"/>
    </xf>
    <xf numFmtId="167" fontId="27" fillId="31" borderId="58" xfId="46" applyNumberFormat="1" applyFont="1" applyFill="1" applyBorder="1" applyAlignment="1">
      <alignment horizontal="center" vertical="center"/>
    </xf>
    <xf numFmtId="167" fontId="27" fillId="31" borderId="31" xfId="46" applyNumberFormat="1" applyFont="1" applyFill="1" applyBorder="1" applyAlignment="1">
      <alignment horizontal="center" vertical="center"/>
    </xf>
    <xf numFmtId="167" fontId="27" fillId="31" borderId="19" xfId="46" applyNumberFormat="1" applyFont="1" applyFill="1" applyBorder="1" applyAlignment="1">
      <alignment horizontal="center" vertical="center"/>
    </xf>
    <xf numFmtId="167" fontId="27" fillId="31" borderId="10" xfId="46" applyNumberFormat="1" applyFont="1" applyFill="1" applyBorder="1" applyAlignment="1">
      <alignment horizontal="center" vertical="center"/>
    </xf>
    <xf numFmtId="167" fontId="27" fillId="31" borderId="42" xfId="46" applyNumberFormat="1" applyFont="1" applyFill="1" applyBorder="1" applyAlignment="1">
      <alignment horizontal="center" vertical="center"/>
    </xf>
    <xf numFmtId="167" fontId="27" fillId="32" borderId="38" xfId="46" applyNumberFormat="1" applyFont="1" applyFill="1" applyBorder="1" applyAlignment="1">
      <alignment horizontal="center" vertical="center"/>
    </xf>
    <xf numFmtId="167" fontId="27" fillId="32" borderId="42" xfId="46" applyNumberFormat="1" applyFont="1" applyFill="1" applyBorder="1" applyAlignment="1">
      <alignment horizontal="center" vertical="center"/>
    </xf>
    <xf numFmtId="167" fontId="27" fillId="32" borderId="43" xfId="46" applyNumberFormat="1" applyFont="1" applyFill="1" applyBorder="1" applyAlignment="1">
      <alignment horizontal="center" vertical="center"/>
    </xf>
    <xf numFmtId="167" fontId="27" fillId="32" borderId="56" xfId="46" applyNumberFormat="1" applyFont="1" applyFill="1" applyBorder="1" applyAlignment="1">
      <alignment horizontal="center" vertical="center"/>
    </xf>
    <xf numFmtId="167" fontId="27" fillId="32" borderId="41" xfId="46" applyNumberFormat="1" applyFont="1" applyFill="1" applyBorder="1" applyAlignment="1">
      <alignment horizontal="center" vertical="center"/>
    </xf>
    <xf numFmtId="0" fontId="36" fillId="31" borderId="26" xfId="46" applyFont="1" applyFill="1" applyBorder="1" applyAlignment="1">
      <alignment horizontal="center" vertical="center" wrapText="1"/>
    </xf>
    <xf numFmtId="167" fontId="27" fillId="31" borderId="81" xfId="46" applyNumberFormat="1" applyFont="1" applyFill="1" applyBorder="1" applyAlignment="1">
      <alignment horizontal="center" vertical="center"/>
    </xf>
    <xf numFmtId="167" fontId="27" fillId="31" borderId="35" xfId="46" applyNumberFormat="1" applyFont="1" applyFill="1" applyBorder="1" applyAlignment="1">
      <alignment horizontal="center" vertical="center"/>
    </xf>
    <xf numFmtId="167" fontId="27" fillId="31" borderId="12" xfId="46" applyNumberFormat="1" applyFont="1" applyFill="1" applyBorder="1" applyAlignment="1">
      <alignment horizontal="center" vertical="center"/>
    </xf>
    <xf numFmtId="167" fontId="27" fillId="31" borderId="79" xfId="46" applyNumberFormat="1" applyFont="1" applyFill="1" applyBorder="1" applyAlignment="1">
      <alignment horizontal="center" vertical="center"/>
    </xf>
    <xf numFmtId="167" fontId="27" fillId="31" borderId="26" xfId="46" applyNumberFormat="1" applyFont="1" applyFill="1" applyBorder="1" applyAlignment="1">
      <alignment horizontal="center" vertical="center"/>
    </xf>
    <xf numFmtId="167" fontId="27" fillId="31" borderId="30" xfId="46" applyNumberFormat="1" applyFont="1" applyFill="1" applyBorder="1" applyAlignment="1">
      <alignment horizontal="center" vertical="center"/>
    </xf>
    <xf numFmtId="0" fontId="36" fillId="31" borderId="62" xfId="46" applyFont="1" applyFill="1" applyBorder="1" applyAlignment="1">
      <alignment horizontal="center" vertical="center" wrapText="1"/>
    </xf>
    <xf numFmtId="167" fontId="27" fillId="31" borderId="82" xfId="46" applyNumberFormat="1" applyFont="1" applyFill="1" applyBorder="1" applyAlignment="1">
      <alignment horizontal="center" vertical="center"/>
    </xf>
    <xf numFmtId="167" fontId="27" fillId="31" borderId="33" xfId="46" applyNumberFormat="1" applyFont="1" applyFill="1" applyBorder="1" applyAlignment="1">
      <alignment horizontal="center" vertical="center"/>
    </xf>
    <xf numFmtId="167" fontId="27" fillId="31" borderId="46" xfId="46" applyNumberFormat="1" applyFont="1" applyFill="1" applyBorder="1" applyAlignment="1">
      <alignment horizontal="center" vertical="center"/>
    </xf>
    <xf numFmtId="167" fontId="27" fillId="31" borderId="14" xfId="46" applyNumberFormat="1" applyFont="1" applyFill="1" applyBorder="1" applyAlignment="1">
      <alignment horizontal="center" vertical="center"/>
    </xf>
    <xf numFmtId="167" fontId="27" fillId="31" borderId="28" xfId="46" applyNumberFormat="1" applyFont="1" applyFill="1" applyBorder="1" applyAlignment="1">
      <alignment horizontal="center" vertical="center"/>
    </xf>
    <xf numFmtId="167" fontId="27" fillId="31" borderId="17" xfId="46" applyNumberFormat="1" applyFont="1" applyFill="1" applyBorder="1" applyAlignment="1">
      <alignment horizontal="center" vertical="center"/>
    </xf>
    <xf numFmtId="167" fontId="27" fillId="31" borderId="22" xfId="46" applyNumberFormat="1" applyFont="1" applyFill="1" applyBorder="1" applyAlignment="1">
      <alignment horizontal="center" vertical="center"/>
    </xf>
    <xf numFmtId="167" fontId="27" fillId="31" borderId="62" xfId="46" applyNumberFormat="1" applyFont="1" applyFill="1" applyBorder="1" applyAlignment="1">
      <alignment horizontal="center" vertical="center"/>
    </xf>
    <xf numFmtId="167" fontId="27" fillId="31" borderId="59" xfId="46" applyNumberFormat="1" applyFont="1" applyFill="1" applyBorder="1" applyAlignment="1">
      <alignment horizontal="center" vertical="center"/>
    </xf>
    <xf numFmtId="167" fontId="27" fillId="31" borderId="76" xfId="46" applyNumberFormat="1" applyFont="1" applyFill="1" applyBorder="1" applyAlignment="1">
      <alignment horizontal="center" vertical="center"/>
    </xf>
    <xf numFmtId="167" fontId="27" fillId="31" borderId="69" xfId="46" applyNumberFormat="1" applyFont="1" applyFill="1" applyBorder="1" applyAlignment="1">
      <alignment horizontal="center" vertical="center"/>
    </xf>
    <xf numFmtId="167" fontId="27" fillId="31" borderId="24" xfId="46" applyNumberFormat="1" applyFont="1" applyFill="1" applyBorder="1" applyAlignment="1">
      <alignment horizontal="center" vertical="center"/>
    </xf>
    <xf numFmtId="167" fontId="27" fillId="31" borderId="20" xfId="46" applyNumberFormat="1" applyFont="1" applyFill="1" applyBorder="1" applyAlignment="1">
      <alignment horizontal="center" vertical="center"/>
    </xf>
    <xf numFmtId="167" fontId="27" fillId="31" borderId="45" xfId="46" applyNumberFormat="1" applyFont="1" applyFill="1" applyBorder="1" applyAlignment="1">
      <alignment horizontal="center" vertical="center"/>
    </xf>
    <xf numFmtId="0" fontId="27" fillId="24" borderId="45" xfId="46" applyFont="1" applyFill="1" applyBorder="1" applyAlignment="1">
      <alignment horizontal="center" vertical="center" wrapText="1"/>
    </xf>
    <xf numFmtId="167" fontId="27" fillId="0" borderId="16" xfId="46" applyNumberFormat="1" applyFont="1" applyBorder="1" applyAlignment="1">
      <alignment horizontal="center" vertical="center"/>
    </xf>
    <xf numFmtId="167" fontId="27" fillId="31" borderId="16" xfId="46" applyNumberFormat="1" applyFont="1" applyFill="1" applyBorder="1" applyAlignment="1">
      <alignment horizontal="center" vertical="center"/>
    </xf>
    <xf numFmtId="167" fontId="28" fillId="0" borderId="31" xfId="46" applyNumberFormat="1" applyFont="1" applyBorder="1" applyAlignment="1">
      <alignment horizontal="center" vertical="center" wrapText="1"/>
    </xf>
    <xf numFmtId="0" fontId="36" fillId="0" borderId="44" xfId="46" applyFont="1" applyBorder="1" applyAlignment="1">
      <alignment horizontal="center" vertical="center" wrapText="1"/>
    </xf>
    <xf numFmtId="0" fontId="36" fillId="0" borderId="26" xfId="46" applyFont="1" applyBorder="1" applyAlignment="1">
      <alignment horizontal="center" vertical="center" wrapText="1"/>
    </xf>
    <xf numFmtId="167" fontId="27" fillId="0" borderId="84" xfId="46" applyNumberFormat="1" applyFont="1" applyBorder="1" applyAlignment="1">
      <alignment horizontal="center" vertical="center"/>
    </xf>
    <xf numFmtId="167" fontId="27" fillId="0" borderId="27" xfId="46" applyNumberFormat="1" applyFont="1" applyBorder="1" applyAlignment="1">
      <alignment horizontal="center" vertical="center"/>
    </xf>
    <xf numFmtId="167" fontId="27" fillId="0" borderId="79" xfId="46" applyNumberFormat="1" applyFont="1" applyBorder="1" applyAlignment="1">
      <alignment horizontal="center" vertical="center"/>
    </xf>
    <xf numFmtId="167" fontId="27" fillId="0" borderId="30" xfId="46" applyNumberFormat="1" applyFont="1" applyBorder="1" applyAlignment="1">
      <alignment horizontal="center" vertical="center"/>
    </xf>
    <xf numFmtId="167" fontId="27" fillId="0" borderId="31" xfId="46" applyNumberFormat="1" applyFont="1" applyBorder="1" applyAlignment="1">
      <alignment horizontal="center" vertical="center"/>
    </xf>
    <xf numFmtId="167" fontId="27" fillId="0" borderId="19" xfId="46" applyNumberFormat="1" applyFont="1" applyBorder="1" applyAlignment="1">
      <alignment horizontal="center" vertical="center"/>
    </xf>
    <xf numFmtId="167" fontId="27" fillId="0" borderId="10" xfId="46" applyNumberFormat="1" applyFont="1" applyBorder="1" applyAlignment="1">
      <alignment horizontal="center" vertical="center"/>
    </xf>
    <xf numFmtId="0" fontId="36" fillId="31" borderId="19" xfId="46" applyFont="1" applyFill="1" applyBorder="1" applyAlignment="1">
      <alignment horizontal="center" vertical="center" wrapText="1"/>
    </xf>
    <xf numFmtId="167" fontId="27" fillId="0" borderId="32" xfId="46" applyNumberFormat="1" applyFont="1" applyBorder="1" applyAlignment="1">
      <alignment horizontal="center" vertical="center"/>
    </xf>
    <xf numFmtId="167" fontId="27" fillId="0" borderId="33" xfId="46" applyNumberFormat="1" applyFont="1" applyBorder="1" applyAlignment="1">
      <alignment horizontal="center" vertical="center"/>
    </xf>
    <xf numFmtId="0" fontId="36" fillId="0" borderId="28" xfId="46" applyFont="1" applyBorder="1" applyAlignment="1">
      <alignment horizontal="center" vertical="center" wrapText="1"/>
    </xf>
    <xf numFmtId="167" fontId="27" fillId="0" borderId="36" xfId="46" applyNumberFormat="1" applyFont="1" applyBorder="1" applyAlignment="1">
      <alignment horizontal="center" vertical="center"/>
    </xf>
    <xf numFmtId="167" fontId="27" fillId="0" borderId="46" xfId="46" applyNumberFormat="1" applyFont="1" applyBorder="1" applyAlignment="1">
      <alignment horizontal="center" vertical="center"/>
    </xf>
    <xf numFmtId="167" fontId="27" fillId="0" borderId="47" xfId="46" applyNumberFormat="1" applyFont="1" applyBorder="1" applyAlignment="1">
      <alignment horizontal="center" vertical="center"/>
    </xf>
    <xf numFmtId="167" fontId="27" fillId="31" borderId="36" xfId="46" applyNumberFormat="1" applyFont="1" applyFill="1" applyBorder="1" applyAlignment="1">
      <alignment horizontal="center" vertical="center"/>
    </xf>
    <xf numFmtId="0" fontId="36" fillId="0" borderId="23" xfId="46" applyFont="1" applyBorder="1" applyAlignment="1">
      <alignment horizontal="center" vertical="center" wrapText="1"/>
    </xf>
    <xf numFmtId="167" fontId="27" fillId="0" borderId="76" xfId="46" applyNumberFormat="1" applyFont="1" applyBorder="1" applyAlignment="1">
      <alignment horizontal="center" vertical="center"/>
    </xf>
    <xf numFmtId="0" fontId="36" fillId="0" borderId="32" xfId="46" applyFont="1" applyBorder="1" applyAlignment="1">
      <alignment horizontal="center" vertical="center" wrapText="1"/>
    </xf>
    <xf numFmtId="167" fontId="27" fillId="0" borderId="69" xfId="46" applyNumberFormat="1" applyFont="1" applyBorder="1" applyAlignment="1">
      <alignment horizontal="center" vertical="center"/>
    </xf>
    <xf numFmtId="167" fontId="27" fillId="0" borderId="24" xfId="46" applyNumberFormat="1" applyFont="1" applyBorder="1" applyAlignment="1">
      <alignment horizontal="center" vertical="center"/>
    </xf>
    <xf numFmtId="167" fontId="27" fillId="0" borderId="20" xfId="46" applyNumberFormat="1" applyFont="1" applyBorder="1" applyAlignment="1">
      <alignment horizontal="center" vertical="center"/>
    </xf>
    <xf numFmtId="167" fontId="27" fillId="28" borderId="54" xfId="46" applyNumberFormat="1" applyFont="1" applyFill="1" applyBorder="1" applyAlignment="1">
      <alignment horizontal="center" vertical="center"/>
    </xf>
    <xf numFmtId="0" fontId="36" fillId="0" borderId="60" xfId="46" applyFont="1" applyBorder="1" applyAlignment="1">
      <alignment horizontal="center" vertical="center" wrapText="1"/>
    </xf>
    <xf numFmtId="0" fontId="36" fillId="31" borderId="50" xfId="46" applyFont="1" applyFill="1" applyBorder="1" applyAlignment="1">
      <alignment horizontal="center" vertical="center" wrapText="1"/>
    </xf>
    <xf numFmtId="167" fontId="27" fillId="0" borderId="81" xfId="46" applyNumberFormat="1" applyFont="1" applyBorder="1" applyAlignment="1">
      <alignment horizontal="center" vertical="center"/>
    </xf>
    <xf numFmtId="0" fontId="27" fillId="24" borderId="17" xfId="46" applyFont="1" applyFill="1" applyBorder="1" applyAlignment="1">
      <alignment horizontal="center" vertical="center"/>
    </xf>
    <xf numFmtId="0" fontId="27" fillId="0" borderId="19" xfId="46" applyFont="1" applyBorder="1" applyAlignment="1">
      <alignment horizontal="center" vertical="center"/>
    </xf>
    <xf numFmtId="0" fontId="27" fillId="0" borderId="26" xfId="46" applyFont="1" applyBorder="1" applyAlignment="1">
      <alignment horizontal="center" vertical="center"/>
    </xf>
    <xf numFmtId="167" fontId="28" fillId="0" borderId="12" xfId="46" applyNumberFormat="1" applyFont="1" applyBorder="1" applyAlignment="1">
      <alignment horizontal="center" vertical="center" wrapText="1"/>
    </xf>
    <xf numFmtId="0" fontId="27" fillId="0" borderId="28" xfId="46" applyFont="1" applyBorder="1" applyAlignment="1">
      <alignment horizontal="center" vertical="center"/>
    </xf>
    <xf numFmtId="167" fontId="28" fillId="0" borderId="11" xfId="46" applyNumberFormat="1" applyFont="1" applyBorder="1" applyAlignment="1">
      <alignment horizontal="center" vertical="center" wrapText="1"/>
    </xf>
    <xf numFmtId="0" fontId="36" fillId="0" borderId="17" xfId="46" applyFont="1" applyBorder="1" applyAlignment="1">
      <alignment horizontal="center" vertical="center" wrapText="1"/>
    </xf>
    <xf numFmtId="0" fontId="36" fillId="0" borderId="45" xfId="46" applyFont="1" applyBorder="1" applyAlignment="1">
      <alignment horizontal="center" vertical="center" wrapText="1"/>
    </xf>
    <xf numFmtId="167" fontId="27" fillId="32" borderId="54" xfId="46" applyNumberFormat="1" applyFont="1" applyFill="1" applyBorder="1" applyAlignment="1">
      <alignment horizontal="center" vertical="center"/>
    </xf>
    <xf numFmtId="49" fontId="36" fillId="31" borderId="34" xfId="46" applyNumberFormat="1" applyFont="1" applyFill="1" applyBorder="1" applyAlignment="1">
      <alignment vertical="center"/>
    </xf>
    <xf numFmtId="167" fontId="27" fillId="40" borderId="41" xfId="46" applyNumberFormat="1" applyFont="1" applyFill="1" applyBorder="1" applyAlignment="1">
      <alignment horizontal="center" vertical="center"/>
    </xf>
    <xf numFmtId="167" fontId="27" fillId="40" borderId="54" xfId="46" applyNumberFormat="1" applyFont="1" applyFill="1" applyBorder="1" applyAlignment="1">
      <alignment horizontal="center" vertical="center"/>
    </xf>
    <xf numFmtId="167" fontId="27" fillId="40" borderId="39" xfId="46" applyNumberFormat="1" applyFont="1" applyFill="1" applyBorder="1" applyAlignment="1">
      <alignment horizontal="center" vertical="center"/>
    </xf>
    <xf numFmtId="167" fontId="27" fillId="40" borderId="40" xfId="46" applyNumberFormat="1" applyFont="1" applyFill="1" applyBorder="1" applyAlignment="1">
      <alignment horizontal="center" vertical="center"/>
    </xf>
    <xf numFmtId="0" fontId="27" fillId="39" borderId="83" xfId="46" applyFont="1" applyFill="1" applyBorder="1" applyAlignment="1">
      <alignment horizontal="center" vertical="center" wrapText="1"/>
    </xf>
    <xf numFmtId="167" fontId="27" fillId="39" borderId="41" xfId="46" applyNumberFormat="1" applyFont="1" applyFill="1" applyBorder="1" applyAlignment="1">
      <alignment horizontal="center" vertical="center" wrapText="1"/>
    </xf>
    <xf numFmtId="167" fontId="27" fillId="39" borderId="42" xfId="46" applyNumberFormat="1" applyFont="1" applyFill="1" applyBorder="1" applyAlignment="1">
      <alignment horizontal="center" vertical="center" wrapText="1"/>
    </xf>
    <xf numFmtId="167" fontId="26" fillId="41" borderId="49" xfId="46" applyNumberFormat="1" applyFont="1" applyFill="1" applyBorder="1" applyAlignment="1">
      <alignment horizontal="center" vertical="center" wrapText="1"/>
    </xf>
    <xf numFmtId="167" fontId="26" fillId="41" borderId="13" xfId="46" applyNumberFormat="1" applyFont="1" applyFill="1" applyBorder="1" applyAlignment="1">
      <alignment horizontal="center" vertical="center" wrapText="1"/>
    </xf>
    <xf numFmtId="167" fontId="26" fillId="41" borderId="50" xfId="46" applyNumberFormat="1" applyFont="1" applyFill="1" applyBorder="1" applyAlignment="1">
      <alignment horizontal="center" vertical="center" wrapText="1"/>
    </xf>
    <xf numFmtId="167" fontId="26" fillId="41" borderId="44" xfId="46" applyNumberFormat="1" applyFont="1" applyFill="1" applyBorder="1" applyAlignment="1">
      <alignment horizontal="center" vertical="center" wrapText="1"/>
    </xf>
    <xf numFmtId="167" fontId="26" fillId="41" borderId="41" xfId="46" applyNumberFormat="1" applyFont="1" applyFill="1" applyBorder="1" applyAlignment="1">
      <alignment horizontal="center" vertical="center" wrapText="1"/>
    </xf>
    <xf numFmtId="167" fontId="26" fillId="41" borderId="42" xfId="46" applyNumberFormat="1" applyFont="1" applyFill="1" applyBorder="1" applyAlignment="1">
      <alignment horizontal="center" vertical="center" wrapText="1"/>
    </xf>
    <xf numFmtId="167" fontId="26" fillId="41" borderId="43" xfId="46" applyNumberFormat="1" applyFont="1" applyFill="1" applyBorder="1" applyAlignment="1">
      <alignment horizontal="center" vertical="center" wrapText="1"/>
    </xf>
    <xf numFmtId="167" fontId="26" fillId="0" borderId="25" xfId="46" applyNumberFormat="1" applyFont="1" applyBorder="1" applyAlignment="1">
      <alignment horizontal="center" vertical="center"/>
    </xf>
    <xf numFmtId="167" fontId="26" fillId="0" borderId="12" xfId="46" applyNumberFormat="1" applyFont="1" applyBorder="1" applyAlignment="1">
      <alignment horizontal="center" vertical="center"/>
    </xf>
    <xf numFmtId="167" fontId="26" fillId="0" borderId="26" xfId="46" applyNumberFormat="1" applyFont="1" applyBorder="1" applyAlignment="1">
      <alignment horizontal="center" vertical="center"/>
    </xf>
    <xf numFmtId="167" fontId="26" fillId="0" borderId="16" xfId="46" applyNumberFormat="1" applyFont="1" applyBorder="1" applyAlignment="1">
      <alignment horizontal="center" vertical="center"/>
    </xf>
    <xf numFmtId="167" fontId="26" fillId="0" borderId="31" xfId="46" applyNumberFormat="1" applyFont="1" applyBorder="1" applyAlignment="1">
      <alignment horizontal="center" vertical="center"/>
    </xf>
    <xf numFmtId="167" fontId="26" fillId="0" borderId="19" xfId="46" applyNumberFormat="1" applyFont="1" applyBorder="1" applyAlignment="1">
      <alignment horizontal="center" vertical="center"/>
    </xf>
    <xf numFmtId="167" fontId="26" fillId="0" borderId="11" xfId="46" applyNumberFormat="1" applyFont="1" applyBorder="1" applyAlignment="1">
      <alignment horizontal="center" vertical="center"/>
    </xf>
    <xf numFmtId="167" fontId="26" fillId="0" borderId="14" xfId="46" applyNumberFormat="1" applyFont="1" applyBorder="1" applyAlignment="1">
      <alignment horizontal="center" vertical="center"/>
    </xf>
    <xf numFmtId="167" fontId="26" fillId="0" borderId="28" xfId="46" applyNumberFormat="1" applyFont="1" applyBorder="1" applyAlignment="1">
      <alignment horizontal="center" vertical="center"/>
    </xf>
    <xf numFmtId="167" fontId="26" fillId="0" borderId="18" xfId="46" applyNumberFormat="1" applyFont="1" applyBorder="1" applyAlignment="1">
      <alignment horizontal="center" vertical="center"/>
    </xf>
    <xf numFmtId="167" fontId="26" fillId="0" borderId="15" xfId="46" applyNumberFormat="1" applyFont="1" applyBorder="1" applyAlignment="1">
      <alignment horizontal="center" vertical="center"/>
    </xf>
    <xf numFmtId="167" fontId="26" fillId="0" borderId="24" xfId="46" applyNumberFormat="1" applyFont="1" applyBorder="1" applyAlignment="1">
      <alignment horizontal="center" vertical="center"/>
    </xf>
    <xf numFmtId="167" fontId="26" fillId="0" borderId="20" xfId="46" applyNumberFormat="1" applyFont="1" applyBorder="1" applyAlignment="1">
      <alignment horizontal="center" vertical="center"/>
    </xf>
    <xf numFmtId="167" fontId="26" fillId="0" borderId="38" xfId="46" applyNumberFormat="1" applyFont="1" applyBorder="1" applyAlignment="1">
      <alignment horizontal="center" vertical="center"/>
    </xf>
    <xf numFmtId="167" fontId="26" fillId="0" borderId="42" xfId="46" applyNumberFormat="1" applyFont="1" applyBorder="1" applyAlignment="1">
      <alignment horizontal="center" vertical="center"/>
    </xf>
    <xf numFmtId="167" fontId="26" fillId="0" borderId="43" xfId="46" applyNumberFormat="1" applyFont="1" applyBorder="1" applyAlignment="1">
      <alignment horizontal="center" vertical="center"/>
    </xf>
    <xf numFmtId="167" fontId="26" fillId="0" borderId="41" xfId="46" applyNumberFormat="1" applyFont="1" applyBorder="1" applyAlignment="1">
      <alignment horizontal="center" vertical="center"/>
    </xf>
    <xf numFmtId="0" fontId="38" fillId="0" borderId="0" xfId="46" applyFont="1" applyAlignment="1">
      <alignment horizontal="left" vertical="center"/>
    </xf>
    <xf numFmtId="0" fontId="66" fillId="0" borderId="0" xfId="50" applyFont="1"/>
    <xf numFmtId="167" fontId="51" fillId="0" borderId="77" xfId="50" applyNumberFormat="1" applyFont="1" applyBorder="1"/>
    <xf numFmtId="167" fontId="51" fillId="0" borderId="0" xfId="52" applyNumberFormat="1" applyFont="1"/>
    <xf numFmtId="0" fontId="8" fillId="0" borderId="0" xfId="52"/>
    <xf numFmtId="167" fontId="52" fillId="0" borderId="0" xfId="52" applyNumberFormat="1" applyFont="1"/>
    <xf numFmtId="0" fontId="27" fillId="0" borderId="0" xfId="52" applyFont="1"/>
    <xf numFmtId="167" fontId="27" fillId="0" borderId="14" xfId="52" applyNumberFormat="1" applyFont="1" applyBorder="1" applyAlignment="1">
      <alignment horizontal="centerContinuous" vertical="center" wrapText="1"/>
    </xf>
    <xf numFmtId="167" fontId="27" fillId="0" borderId="24" xfId="52" applyNumberFormat="1" applyFont="1" applyBorder="1" applyAlignment="1">
      <alignment horizontal="center" vertical="center" textRotation="90"/>
    </xf>
    <xf numFmtId="167" fontId="27" fillId="0" borderId="24" xfId="52" applyNumberFormat="1" applyFont="1" applyBorder="1" applyAlignment="1">
      <alignment horizontal="center" vertical="center" textRotation="90" wrapText="1"/>
    </xf>
    <xf numFmtId="0" fontId="26" fillId="0" borderId="0" xfId="52" applyFont="1" applyAlignment="1">
      <alignment horizontal="left"/>
    </xf>
    <xf numFmtId="0" fontId="26" fillId="0" borderId="0" xfId="52" applyFont="1"/>
    <xf numFmtId="0" fontId="27" fillId="0" borderId="26" xfId="52" applyFont="1" applyBorder="1" applyAlignment="1">
      <alignment horizontal="center" vertical="center" wrapText="1"/>
    </xf>
    <xf numFmtId="167" fontId="27" fillId="0" borderId="31" xfId="52" applyNumberFormat="1" applyFont="1" applyBorder="1" applyAlignment="1">
      <alignment horizontal="center" vertical="center" wrapText="1"/>
    </xf>
    <xf numFmtId="167" fontId="27" fillId="0" borderId="19" xfId="52" applyNumberFormat="1" applyFont="1" applyBorder="1" applyAlignment="1">
      <alignment horizontal="center" vertical="center" wrapText="1"/>
    </xf>
    <xf numFmtId="167" fontId="27" fillId="0" borderId="16" xfId="52" applyNumberFormat="1" applyFont="1" applyBorder="1" applyAlignment="1">
      <alignment horizontal="center" vertical="center" wrapText="1"/>
    </xf>
    <xf numFmtId="167" fontId="27" fillId="0" borderId="11" xfId="52" applyNumberFormat="1" applyFont="1" applyBorder="1" applyAlignment="1">
      <alignment horizontal="center" vertical="center" wrapText="1"/>
    </xf>
    <xf numFmtId="167" fontId="27" fillId="0" borderId="14" xfId="52" applyNumberFormat="1" applyFont="1" applyBorder="1" applyAlignment="1">
      <alignment horizontal="center" vertical="center" wrapText="1"/>
    </xf>
    <xf numFmtId="167" fontId="27" fillId="0" borderId="28" xfId="52" applyNumberFormat="1" applyFont="1" applyBorder="1" applyAlignment="1">
      <alignment horizontal="center" vertical="center" wrapText="1"/>
    </xf>
    <xf numFmtId="167" fontId="27" fillId="0" borderId="70" xfId="52" applyNumberFormat="1" applyFont="1" applyBorder="1" applyAlignment="1">
      <alignment horizontal="center" vertical="center" wrapText="1"/>
    </xf>
    <xf numFmtId="167" fontId="27" fillId="0" borderId="37" xfId="52" applyNumberFormat="1" applyFont="1" applyBorder="1" applyAlignment="1">
      <alignment horizontal="center" vertical="center" wrapText="1"/>
    </xf>
    <xf numFmtId="167" fontId="27" fillId="0" borderId="51" xfId="52" applyNumberFormat="1" applyFont="1" applyBorder="1" applyAlignment="1">
      <alignment horizontal="center" vertical="center" wrapText="1"/>
    </xf>
    <xf numFmtId="167" fontId="27" fillId="28" borderId="41" xfId="52" applyNumberFormat="1" applyFont="1" applyFill="1" applyBorder="1" applyAlignment="1">
      <alignment horizontal="center" vertical="center" wrapText="1"/>
    </xf>
    <xf numFmtId="167" fontId="27" fillId="28" borderId="54" xfId="52" applyNumberFormat="1" applyFont="1" applyFill="1" applyBorder="1" applyAlignment="1">
      <alignment horizontal="center" vertical="center" wrapText="1"/>
    </xf>
    <xf numFmtId="167" fontId="27" fillId="28" borderId="40" xfId="52" applyNumberFormat="1" applyFont="1" applyFill="1" applyBorder="1" applyAlignment="1">
      <alignment horizontal="center" vertical="center" wrapText="1"/>
    </xf>
    <xf numFmtId="167" fontId="27" fillId="0" borderId="27" xfId="52" applyNumberFormat="1" applyFont="1" applyBorder="1" applyAlignment="1">
      <alignment horizontal="center" vertical="center" wrapText="1"/>
    </xf>
    <xf numFmtId="0" fontId="27" fillId="0" borderId="34" xfId="52" applyFont="1" applyBorder="1" applyAlignment="1">
      <alignment horizontal="center" vertical="center" wrapText="1"/>
    </xf>
    <xf numFmtId="167" fontId="27" fillId="0" borderId="46" xfId="52" applyNumberFormat="1" applyFont="1" applyBorder="1" applyAlignment="1">
      <alignment horizontal="center" vertical="center" wrapText="1"/>
    </xf>
    <xf numFmtId="0" fontId="27" fillId="26" borderId="26" xfId="52" applyFont="1" applyFill="1" applyBorder="1" applyAlignment="1">
      <alignment horizontal="center" vertical="center" wrapText="1"/>
    </xf>
    <xf numFmtId="167" fontId="27" fillId="26" borderId="26" xfId="52" applyNumberFormat="1" applyFont="1" applyFill="1" applyBorder="1" applyAlignment="1">
      <alignment horizontal="center" vertical="center" wrapText="1"/>
    </xf>
    <xf numFmtId="0" fontId="27" fillId="26" borderId="28" xfId="52" applyFont="1" applyFill="1" applyBorder="1" applyAlignment="1">
      <alignment horizontal="center" vertical="center" wrapText="1"/>
    </xf>
    <xf numFmtId="167" fontId="27" fillId="0" borderId="30" xfId="52" applyNumberFormat="1" applyFont="1" applyBorder="1" applyAlignment="1">
      <alignment horizontal="center" vertical="center" wrapText="1"/>
    </xf>
    <xf numFmtId="167" fontId="27" fillId="26" borderId="28" xfId="52" applyNumberFormat="1" applyFont="1" applyFill="1" applyBorder="1" applyAlignment="1">
      <alignment horizontal="center" vertical="center" wrapText="1"/>
    </xf>
    <xf numFmtId="0" fontId="27" fillId="26" borderId="34" xfId="52" applyFont="1" applyFill="1" applyBorder="1" applyAlignment="1">
      <alignment horizontal="center" vertical="center" wrapText="1"/>
    </xf>
    <xf numFmtId="167" fontId="27" fillId="0" borderId="72" xfId="52" applyNumberFormat="1" applyFont="1" applyBorder="1" applyAlignment="1">
      <alignment horizontal="center" vertical="center" wrapText="1"/>
    </xf>
    <xf numFmtId="167" fontId="27" fillId="0" borderId="76" xfId="52" applyNumberFormat="1" applyFont="1" applyBorder="1" applyAlignment="1">
      <alignment horizontal="center" vertical="center" wrapText="1"/>
    </xf>
    <xf numFmtId="167" fontId="27" fillId="26" borderId="76" xfId="52" applyNumberFormat="1" applyFont="1" applyFill="1" applyBorder="1" applyAlignment="1">
      <alignment horizontal="center" vertical="center" wrapText="1"/>
    </xf>
    <xf numFmtId="167" fontId="27" fillId="0" borderId="58" xfId="52" applyNumberFormat="1" applyFont="1" applyBorder="1" applyAlignment="1">
      <alignment horizontal="center" vertical="center" wrapText="1"/>
    </xf>
    <xf numFmtId="0" fontId="27" fillId="26" borderId="10" xfId="52" applyFont="1" applyFill="1" applyBorder="1" applyAlignment="1">
      <alignment horizontal="center" vertical="center" wrapText="1"/>
    </xf>
    <xf numFmtId="167" fontId="27" fillId="31" borderId="26" xfId="52" applyNumberFormat="1" applyFont="1" applyFill="1" applyBorder="1" applyAlignment="1">
      <alignment horizontal="center" vertical="center" wrapText="1"/>
    </xf>
    <xf numFmtId="0" fontId="27" fillId="26" borderId="17" xfId="52" applyFont="1" applyFill="1" applyBorder="1" applyAlignment="1">
      <alignment horizontal="center" vertical="center" wrapText="1"/>
    </xf>
    <xf numFmtId="0" fontId="27" fillId="26" borderId="45" xfId="52" applyFont="1" applyFill="1" applyBorder="1" applyAlignment="1">
      <alignment horizontal="center" vertical="center" wrapText="1"/>
    </xf>
    <xf numFmtId="167" fontId="27" fillId="28" borderId="49" xfId="52" applyNumberFormat="1" applyFont="1" applyFill="1" applyBorder="1" applyAlignment="1">
      <alignment horizontal="center" vertical="center" wrapText="1"/>
    </xf>
    <xf numFmtId="167" fontId="27" fillId="28" borderId="52" xfId="52" applyNumberFormat="1" applyFont="1" applyFill="1" applyBorder="1" applyAlignment="1">
      <alignment horizontal="center" vertical="center" wrapText="1"/>
    </xf>
    <xf numFmtId="167" fontId="27" fillId="28" borderId="61" xfId="52" applyNumberFormat="1" applyFont="1" applyFill="1" applyBorder="1" applyAlignment="1">
      <alignment horizontal="center" vertical="center" wrapText="1"/>
    </xf>
    <xf numFmtId="167" fontId="27" fillId="0" borderId="48" xfId="52" applyNumberFormat="1" applyFont="1" applyBorder="1" applyAlignment="1">
      <alignment horizontal="center" vertical="center" wrapText="1"/>
    </xf>
    <xf numFmtId="167" fontId="27" fillId="0" borderId="29" xfId="52" applyNumberFormat="1" applyFont="1" applyBorder="1" applyAlignment="1">
      <alignment horizontal="center" vertical="center" wrapText="1"/>
    </xf>
    <xf numFmtId="167" fontId="27" fillId="0" borderId="34" xfId="52" applyNumberFormat="1" applyFont="1" applyBorder="1" applyAlignment="1">
      <alignment horizontal="center" vertical="center" wrapText="1"/>
    </xf>
    <xf numFmtId="167" fontId="27" fillId="28" borderId="70" xfId="52" applyNumberFormat="1" applyFont="1" applyFill="1" applyBorder="1" applyAlignment="1">
      <alignment horizontal="center" vertical="center" wrapText="1"/>
    </xf>
    <xf numFmtId="167" fontId="27" fillId="28" borderId="37" xfId="52" applyNumberFormat="1" applyFont="1" applyFill="1" applyBorder="1" applyAlignment="1">
      <alignment horizontal="center" vertical="center" wrapText="1"/>
    </xf>
    <xf numFmtId="167" fontId="27" fillId="28" borderId="51" xfId="52" applyNumberFormat="1" applyFont="1" applyFill="1" applyBorder="1" applyAlignment="1">
      <alignment horizontal="center" vertical="center" wrapText="1"/>
    </xf>
    <xf numFmtId="0" fontId="27" fillId="0" borderId="54" xfId="52" applyFont="1" applyBorder="1" applyAlignment="1">
      <alignment horizontal="center" vertical="center" wrapText="1"/>
    </xf>
    <xf numFmtId="0" fontId="27" fillId="0" borderId="42" xfId="52" applyFont="1" applyBorder="1" applyAlignment="1">
      <alignment horizontal="center" vertical="center" wrapText="1"/>
    </xf>
    <xf numFmtId="0" fontId="27" fillId="0" borderId="43" xfId="52" applyFont="1" applyBorder="1" applyAlignment="1">
      <alignment horizontal="center" vertical="center" wrapText="1"/>
    </xf>
    <xf numFmtId="167" fontId="27" fillId="31" borderId="72" xfId="52" applyNumberFormat="1" applyFont="1" applyFill="1" applyBorder="1" applyAlignment="1">
      <alignment horizontal="center" vertical="center" wrapText="1"/>
    </xf>
    <xf numFmtId="167" fontId="27" fillId="31" borderId="52" xfId="52" applyNumberFormat="1" applyFont="1" applyFill="1" applyBorder="1" applyAlignment="1">
      <alignment horizontal="center" vertical="center" wrapText="1"/>
    </xf>
    <xf numFmtId="167" fontId="27" fillId="31" borderId="60" xfId="52" applyNumberFormat="1" applyFont="1" applyFill="1" applyBorder="1" applyAlignment="1">
      <alignment horizontal="center" vertical="center" wrapText="1"/>
    </xf>
    <xf numFmtId="167" fontId="27" fillId="31" borderId="49" xfId="52" applyNumberFormat="1" applyFont="1" applyFill="1" applyBorder="1" applyAlignment="1">
      <alignment horizontal="center" vertical="center" wrapText="1"/>
    </xf>
    <xf numFmtId="167" fontId="27" fillId="31" borderId="61" xfId="52" applyNumberFormat="1" applyFont="1" applyFill="1" applyBorder="1" applyAlignment="1">
      <alignment horizontal="center" vertical="center" wrapText="1"/>
    </xf>
    <xf numFmtId="167" fontId="27" fillId="0" borderId="41" xfId="52" applyNumberFormat="1" applyFont="1" applyBorder="1" applyAlignment="1">
      <alignment horizontal="center" vertical="center" wrapText="1"/>
    </xf>
    <xf numFmtId="167" fontId="27" fillId="28" borderId="60" xfId="52" applyNumberFormat="1" applyFont="1" applyFill="1" applyBorder="1" applyAlignment="1">
      <alignment horizontal="center" vertical="center" wrapText="1"/>
    </xf>
    <xf numFmtId="49" fontId="27" fillId="0" borderId="31" xfId="52" applyNumberFormat="1" applyFont="1" applyBorder="1" applyAlignment="1">
      <alignment horizontal="center" vertical="center" wrapText="1"/>
    </xf>
    <xf numFmtId="0" fontId="27" fillId="31" borderId="25" xfId="52" applyFont="1" applyFill="1" applyBorder="1" applyAlignment="1">
      <alignment horizontal="center" vertical="center" wrapText="1"/>
    </xf>
    <xf numFmtId="167" fontId="27" fillId="31" borderId="35" xfId="52" applyNumberFormat="1" applyFont="1" applyFill="1" applyBorder="1" applyAlignment="1">
      <alignment horizontal="center" vertical="center" wrapText="1"/>
    </xf>
    <xf numFmtId="167" fontId="27" fillId="31" borderId="12" xfId="52" applyNumberFormat="1" applyFont="1" applyFill="1" applyBorder="1" applyAlignment="1">
      <alignment horizontal="center" vertical="center" wrapText="1"/>
    </xf>
    <xf numFmtId="167" fontId="27" fillId="31" borderId="25" xfId="52" applyNumberFormat="1" applyFont="1" applyFill="1" applyBorder="1" applyAlignment="1">
      <alignment horizontal="center" vertical="center" wrapText="1"/>
    </xf>
    <xf numFmtId="0" fontId="27" fillId="31" borderId="11" xfId="52" applyFont="1" applyFill="1" applyBorder="1" applyAlignment="1">
      <alignment horizontal="center" vertical="center" wrapText="1"/>
    </xf>
    <xf numFmtId="167" fontId="27" fillId="31" borderId="14" xfId="52" applyNumberFormat="1" applyFont="1" applyFill="1" applyBorder="1" applyAlignment="1">
      <alignment horizontal="center" vertical="center" wrapText="1"/>
    </xf>
    <xf numFmtId="167" fontId="27" fillId="31" borderId="28" xfId="52" applyNumberFormat="1" applyFont="1" applyFill="1" applyBorder="1" applyAlignment="1">
      <alignment horizontal="center" vertical="center" wrapText="1"/>
    </xf>
    <xf numFmtId="167" fontId="27" fillId="31" borderId="11" xfId="52" applyNumberFormat="1" applyFont="1" applyFill="1" applyBorder="1" applyAlignment="1">
      <alignment horizontal="center" vertical="center" wrapText="1"/>
    </xf>
    <xf numFmtId="167" fontId="27" fillId="31" borderId="31" xfId="52" applyNumberFormat="1" applyFont="1" applyFill="1" applyBorder="1" applyAlignment="1">
      <alignment horizontal="center" vertical="center" wrapText="1"/>
    </xf>
    <xf numFmtId="167" fontId="27" fillId="0" borderId="63" xfId="52" applyNumberFormat="1" applyFont="1" applyBorder="1" applyAlignment="1">
      <alignment horizontal="center" vertical="center" wrapText="1"/>
    </xf>
    <xf numFmtId="0" fontId="27" fillId="24" borderId="28" xfId="52" applyFont="1" applyFill="1" applyBorder="1" applyAlignment="1">
      <alignment horizontal="center" vertical="center" wrapText="1"/>
    </xf>
    <xf numFmtId="167" fontId="27" fillId="24" borderId="88" xfId="52" applyNumberFormat="1" applyFont="1" applyFill="1" applyBorder="1" applyAlignment="1">
      <alignment horizontal="center" vertical="center" wrapText="1"/>
    </xf>
    <xf numFmtId="167" fontId="27" fillId="24" borderId="89" xfId="52" applyNumberFormat="1" applyFont="1" applyFill="1" applyBorder="1" applyAlignment="1">
      <alignment horizontal="center" vertical="center" wrapText="1"/>
    </xf>
    <xf numFmtId="0" fontId="27" fillId="25" borderId="11" xfId="52" applyFont="1" applyFill="1" applyBorder="1" applyAlignment="1">
      <alignment horizontal="center" vertical="center" wrapText="1"/>
    </xf>
    <xf numFmtId="0" fontId="27" fillId="26" borderId="50" xfId="52" applyFont="1" applyFill="1" applyBorder="1" applyAlignment="1">
      <alignment horizontal="center" vertical="center" wrapText="1"/>
    </xf>
    <xf numFmtId="167" fontId="27" fillId="26" borderId="25" xfId="52" applyNumberFormat="1" applyFont="1" applyFill="1" applyBorder="1" applyAlignment="1">
      <alignment horizontal="center" vertical="center" wrapText="1"/>
    </xf>
    <xf numFmtId="167" fontId="27" fillId="26" borderId="12" xfId="52" applyNumberFormat="1" applyFont="1" applyFill="1" applyBorder="1" applyAlignment="1">
      <alignment horizontal="center" vertical="center" wrapText="1"/>
    </xf>
    <xf numFmtId="167" fontId="27" fillId="28" borderId="42" xfId="52" applyNumberFormat="1" applyFont="1" applyFill="1" applyBorder="1" applyAlignment="1">
      <alignment horizontal="center" vertical="center" wrapText="1"/>
    </xf>
    <xf numFmtId="167" fontId="27" fillId="28" borderId="43" xfId="52" applyNumberFormat="1" applyFont="1" applyFill="1" applyBorder="1" applyAlignment="1">
      <alignment horizontal="center" vertical="center" wrapText="1"/>
    </xf>
    <xf numFmtId="0" fontId="27" fillId="0" borderId="27" xfId="52" applyFont="1" applyBorder="1" applyAlignment="1">
      <alignment horizontal="center" vertical="center" wrapText="1"/>
    </xf>
    <xf numFmtId="0" fontId="27" fillId="0" borderId="12" xfId="52" applyFont="1" applyBorder="1" applyAlignment="1">
      <alignment horizontal="center" vertical="center" wrapText="1"/>
    </xf>
    <xf numFmtId="167" fontId="27" fillId="0" borderId="79" xfId="52" applyNumberFormat="1" applyFont="1" applyBorder="1" applyAlignment="1">
      <alignment horizontal="center" vertical="center" wrapText="1"/>
    </xf>
    <xf numFmtId="0" fontId="27" fillId="0" borderId="28" xfId="52" applyFont="1" applyBorder="1" applyAlignment="1">
      <alignment horizontal="center" vertical="center" wrapText="1"/>
    </xf>
    <xf numFmtId="0" fontId="27" fillId="0" borderId="11" xfId="52" applyFont="1" applyBorder="1" applyAlignment="1">
      <alignment horizontal="center" vertical="center" wrapText="1"/>
    </xf>
    <xf numFmtId="0" fontId="27" fillId="0" borderId="46" xfId="52" applyFont="1" applyBorder="1" applyAlignment="1">
      <alignment horizontal="center" vertical="center" wrapText="1"/>
    </xf>
    <xf numFmtId="165" fontId="27" fillId="0" borderId="47" xfId="52" applyNumberFormat="1" applyFont="1" applyBorder="1" applyAlignment="1">
      <alignment horizontal="center" vertical="center" wrapText="1"/>
    </xf>
    <xf numFmtId="167" fontId="27" fillId="0" borderId="33" xfId="52" applyNumberFormat="1" applyFont="1" applyBorder="1" applyAlignment="1">
      <alignment horizontal="center" vertical="center" wrapText="1"/>
    </xf>
    <xf numFmtId="165" fontId="27" fillId="0" borderId="70" xfId="52" applyNumberFormat="1" applyFont="1" applyBorder="1" applyAlignment="1">
      <alignment horizontal="center" vertical="center" wrapText="1"/>
    </xf>
    <xf numFmtId="165" fontId="27" fillId="0" borderId="37" xfId="52" applyNumberFormat="1" applyFont="1" applyBorder="1" applyAlignment="1">
      <alignment horizontal="center" vertical="center" wrapText="1"/>
    </xf>
    <xf numFmtId="0" fontId="27" fillId="0" borderId="51" xfId="52" applyFont="1" applyBorder="1" applyAlignment="1">
      <alignment horizontal="center" vertical="center" wrapText="1"/>
    </xf>
    <xf numFmtId="0" fontId="27" fillId="0" borderId="70" xfId="52" applyFont="1" applyBorder="1" applyAlignment="1">
      <alignment horizontal="center" vertical="center" wrapText="1"/>
    </xf>
    <xf numFmtId="0" fontId="27" fillId="0" borderId="37" xfId="52" applyFont="1" applyBorder="1" applyAlignment="1">
      <alignment horizontal="center" vertical="center" wrapText="1"/>
    </xf>
    <xf numFmtId="167" fontId="27" fillId="32" borderId="13" xfId="52" applyNumberFormat="1" applyFont="1" applyFill="1" applyBorder="1" applyAlignment="1">
      <alignment horizontal="center" vertical="center" wrapText="1"/>
    </xf>
    <xf numFmtId="167" fontId="27" fillId="32" borderId="42" xfId="52" applyNumberFormat="1" applyFont="1" applyFill="1" applyBorder="1" applyAlignment="1">
      <alignment horizontal="center" vertical="center" wrapText="1"/>
    </xf>
    <xf numFmtId="167" fontId="27" fillId="32" borderId="43" xfId="52" applyNumberFormat="1" applyFont="1" applyFill="1" applyBorder="1" applyAlignment="1">
      <alignment horizontal="center" vertical="center" wrapText="1"/>
    </xf>
    <xf numFmtId="167" fontId="27" fillId="32" borderId="41" xfId="52" applyNumberFormat="1" applyFont="1" applyFill="1" applyBorder="1" applyAlignment="1">
      <alignment horizontal="center" vertical="center" wrapText="1"/>
    </xf>
    <xf numFmtId="0" fontId="27" fillId="31" borderId="10" xfId="52" applyFont="1" applyFill="1" applyBorder="1" applyAlignment="1">
      <alignment horizontal="center" vertical="center" wrapText="1"/>
    </xf>
    <xf numFmtId="167" fontId="27" fillId="31" borderId="41" xfId="52" applyNumberFormat="1" applyFont="1" applyFill="1" applyBorder="1" applyAlignment="1">
      <alignment horizontal="center" vertical="center" wrapText="1"/>
    </xf>
    <xf numFmtId="167" fontId="27" fillId="31" borderId="42" xfId="52" applyNumberFormat="1" applyFont="1" applyFill="1" applyBorder="1" applyAlignment="1">
      <alignment horizontal="center" vertical="center" wrapText="1"/>
    </xf>
    <xf numFmtId="167" fontId="27" fillId="31" borderId="56" xfId="52" applyNumberFormat="1" applyFont="1" applyFill="1" applyBorder="1" applyAlignment="1">
      <alignment horizontal="center" vertical="center" wrapText="1"/>
    </xf>
    <xf numFmtId="167" fontId="27" fillId="31" borderId="43" xfId="52" applyNumberFormat="1" applyFont="1" applyFill="1" applyBorder="1" applyAlignment="1">
      <alignment horizontal="center" vertical="center" wrapText="1"/>
    </xf>
    <xf numFmtId="167" fontId="27" fillId="31" borderId="70" xfId="52" applyNumberFormat="1" applyFont="1" applyFill="1" applyBorder="1" applyAlignment="1">
      <alignment horizontal="center" vertical="center" wrapText="1"/>
    </xf>
    <xf numFmtId="167" fontId="27" fillId="31" borderId="62" xfId="52" applyNumberFormat="1" applyFont="1" applyFill="1" applyBorder="1" applyAlignment="1">
      <alignment horizontal="center" vertical="center" wrapText="1"/>
    </xf>
    <xf numFmtId="167" fontId="27" fillId="31" borderId="50" xfId="52" applyNumberFormat="1" applyFont="1" applyFill="1" applyBorder="1" applyAlignment="1">
      <alignment horizontal="center" vertical="center" wrapText="1"/>
    </xf>
    <xf numFmtId="0" fontId="27" fillId="32" borderId="41" xfId="52" applyFont="1" applyFill="1" applyBorder="1" applyAlignment="1">
      <alignment vertical="center" wrapText="1"/>
    </xf>
    <xf numFmtId="0" fontId="27" fillId="32" borderId="42" xfId="52" applyFont="1" applyFill="1" applyBorder="1" applyAlignment="1">
      <alignment vertical="center" wrapText="1"/>
    </xf>
    <xf numFmtId="167" fontId="27" fillId="32" borderId="54" xfId="52" applyNumberFormat="1" applyFont="1" applyFill="1" applyBorder="1" applyAlignment="1">
      <alignment horizontal="center" vertical="center" wrapText="1"/>
    </xf>
    <xf numFmtId="167" fontId="27" fillId="32" borderId="56" xfId="52" applyNumberFormat="1" applyFont="1" applyFill="1" applyBorder="1" applyAlignment="1">
      <alignment horizontal="center" vertical="center" wrapText="1"/>
    </xf>
    <xf numFmtId="167" fontId="27" fillId="32" borderId="49" xfId="52" applyNumberFormat="1" applyFont="1" applyFill="1" applyBorder="1" applyAlignment="1">
      <alignment horizontal="center" vertical="center" wrapText="1"/>
    </xf>
    <xf numFmtId="0" fontId="27" fillId="25" borderId="83" xfId="52" applyFont="1" applyFill="1" applyBorder="1" applyAlignment="1">
      <alignment horizontal="center" vertical="center" wrapText="1"/>
    </xf>
    <xf numFmtId="0" fontId="27" fillId="24" borderId="78" xfId="52" applyFont="1" applyFill="1" applyBorder="1" applyAlignment="1">
      <alignment horizontal="center" vertical="center" wrapText="1"/>
    </xf>
    <xf numFmtId="167" fontId="27" fillId="24" borderId="25" xfId="52" applyNumberFormat="1" applyFont="1" applyFill="1" applyBorder="1" applyAlignment="1">
      <alignment horizontal="center" vertical="center" wrapText="1"/>
    </xf>
    <xf numFmtId="167" fontId="27" fillId="24" borderId="31" xfId="52" applyNumberFormat="1" applyFont="1" applyFill="1" applyBorder="1" applyAlignment="1">
      <alignment horizontal="center" vertical="center" wrapText="1"/>
    </xf>
    <xf numFmtId="167" fontId="27" fillId="24" borderId="55" xfId="52" applyNumberFormat="1" applyFont="1" applyFill="1" applyBorder="1" applyAlignment="1">
      <alignment horizontal="center" vertical="center" wrapText="1"/>
    </xf>
    <xf numFmtId="167" fontId="27" fillId="24" borderId="41" xfId="52" applyNumberFormat="1" applyFont="1" applyFill="1" applyBorder="1" applyAlignment="1">
      <alignment horizontal="center" vertical="center" wrapText="1"/>
    </xf>
    <xf numFmtId="167" fontId="27" fillId="24" borderId="42" xfId="52" applyNumberFormat="1" applyFont="1" applyFill="1" applyBorder="1" applyAlignment="1">
      <alignment horizontal="center" vertical="center" wrapText="1"/>
    </xf>
    <xf numFmtId="167" fontId="27" fillId="24" borderId="56" xfId="52" applyNumberFormat="1" applyFont="1" applyFill="1" applyBorder="1" applyAlignment="1">
      <alignment horizontal="center" vertical="center" wrapText="1"/>
    </xf>
    <xf numFmtId="167" fontId="27" fillId="24" borderId="71" xfId="52" applyNumberFormat="1" applyFont="1" applyFill="1" applyBorder="1" applyAlignment="1">
      <alignment horizontal="center" vertical="center" wrapText="1"/>
    </xf>
    <xf numFmtId="0" fontId="27" fillId="25" borderId="21" xfId="52" applyFont="1" applyFill="1" applyBorder="1" applyAlignment="1">
      <alignment horizontal="center" vertical="center" wrapText="1"/>
    </xf>
    <xf numFmtId="167" fontId="27" fillId="25" borderId="70" xfId="52" applyNumberFormat="1" applyFont="1" applyFill="1" applyBorder="1" applyAlignment="1">
      <alignment horizontal="center" vertical="center" wrapText="1"/>
    </xf>
    <xf numFmtId="167" fontId="27" fillId="25" borderId="55" xfId="52" applyNumberFormat="1" applyFont="1" applyFill="1" applyBorder="1" applyAlignment="1">
      <alignment horizontal="center" vertical="center" wrapText="1"/>
    </xf>
    <xf numFmtId="167" fontId="27" fillId="25" borderId="42" xfId="52" applyNumberFormat="1" applyFont="1" applyFill="1" applyBorder="1" applyAlignment="1">
      <alignment horizontal="center" vertical="center" wrapText="1"/>
    </xf>
    <xf numFmtId="167" fontId="27" fillId="25" borderId="41" xfId="52" applyNumberFormat="1" applyFont="1" applyFill="1" applyBorder="1" applyAlignment="1">
      <alignment horizontal="center" vertical="center" wrapText="1"/>
    </xf>
    <xf numFmtId="167" fontId="27" fillId="25" borderId="43" xfId="52" applyNumberFormat="1" applyFont="1" applyFill="1" applyBorder="1" applyAlignment="1">
      <alignment horizontal="center" vertical="center" wrapText="1"/>
    </xf>
    <xf numFmtId="0" fontId="27" fillId="25" borderId="18" xfId="52" applyFont="1" applyFill="1" applyBorder="1" applyAlignment="1">
      <alignment horizontal="center" vertical="center" wrapText="1"/>
    </xf>
    <xf numFmtId="167" fontId="27" fillId="0" borderId="44" xfId="52" applyNumberFormat="1" applyFont="1" applyBorder="1" applyAlignment="1">
      <alignment horizontal="center" vertical="center" wrapText="1"/>
    </xf>
    <xf numFmtId="4" fontId="27" fillId="0" borderId="12" xfId="52" applyNumberFormat="1" applyFont="1" applyBorder="1" applyAlignment="1">
      <alignment horizontal="center" vertical="center" wrapText="1"/>
    </xf>
    <xf numFmtId="167" fontId="27" fillId="0" borderId="35" xfId="52" applyNumberFormat="1" applyFont="1" applyBorder="1" applyAlignment="1">
      <alignment horizontal="center" vertical="center" wrapText="1"/>
    </xf>
    <xf numFmtId="167" fontId="27" fillId="0" borderId="15" xfId="52" applyNumberFormat="1" applyFont="1" applyBorder="1" applyAlignment="1">
      <alignment horizontal="center" vertical="center" wrapText="1"/>
    </xf>
    <xf numFmtId="4" fontId="27" fillId="0" borderId="14" xfId="52" applyNumberFormat="1" applyFont="1" applyBorder="1" applyAlignment="1">
      <alignment horizontal="center" vertical="center" wrapText="1"/>
    </xf>
    <xf numFmtId="167" fontId="27" fillId="0" borderId="10" xfId="52" applyNumberFormat="1" applyFont="1" applyBorder="1" applyAlignment="1">
      <alignment horizontal="center" vertical="center" wrapText="1"/>
    </xf>
    <xf numFmtId="0" fontId="27" fillId="0" borderId="14" xfId="52" quotePrefix="1" applyFont="1" applyBorder="1" applyAlignment="1">
      <alignment horizontal="center" vertical="center" wrapText="1"/>
    </xf>
    <xf numFmtId="0" fontId="27" fillId="0" borderId="24" xfId="52" applyFont="1" applyBorder="1" applyAlignment="1">
      <alignment vertical="center" wrapText="1"/>
    </xf>
    <xf numFmtId="167" fontId="27" fillId="31" borderId="55" xfId="52" applyNumberFormat="1" applyFont="1" applyFill="1" applyBorder="1" applyAlignment="1">
      <alignment horizontal="center" vertical="center" wrapText="1"/>
    </xf>
    <xf numFmtId="167" fontId="27" fillId="31" borderId="59" xfId="52" applyNumberFormat="1" applyFont="1" applyFill="1" applyBorder="1" applyAlignment="1">
      <alignment horizontal="center" vertical="center" wrapText="1"/>
    </xf>
    <xf numFmtId="167" fontId="27" fillId="31" borderId="23" xfId="52" applyNumberFormat="1" applyFont="1" applyFill="1" applyBorder="1" applyAlignment="1">
      <alignment horizontal="center" vertical="center" wrapText="1"/>
    </xf>
    <xf numFmtId="4" fontId="27" fillId="0" borderId="55" xfId="52" applyNumberFormat="1" applyFont="1" applyBorder="1" applyAlignment="1">
      <alignment horizontal="center" vertical="center" wrapText="1"/>
    </xf>
    <xf numFmtId="167" fontId="27" fillId="0" borderId="59" xfId="52" applyNumberFormat="1" applyFont="1" applyBorder="1" applyAlignment="1">
      <alignment horizontal="center" vertical="center" wrapText="1"/>
    </xf>
    <xf numFmtId="167" fontId="27" fillId="0" borderId="23" xfId="52" applyNumberFormat="1" applyFont="1" applyBorder="1" applyAlignment="1">
      <alignment horizontal="center" vertical="center" wrapText="1"/>
    </xf>
    <xf numFmtId="0" fontId="27" fillId="0" borderId="10" xfId="52" quotePrefix="1" applyFont="1" applyBorder="1" applyAlignment="1">
      <alignment vertical="center" wrapText="1"/>
    </xf>
    <xf numFmtId="0" fontId="27" fillId="31" borderId="35" xfId="52" applyFont="1" applyFill="1" applyBorder="1" applyAlignment="1">
      <alignment horizontal="center" vertical="center" wrapText="1"/>
    </xf>
    <xf numFmtId="167" fontId="27" fillId="0" borderId="0" xfId="52" applyNumberFormat="1" applyFont="1"/>
    <xf numFmtId="167" fontId="27" fillId="31" borderId="30" xfId="52" applyNumberFormat="1" applyFont="1" applyFill="1" applyBorder="1" applyAlignment="1">
      <alignment horizontal="center" vertical="center" wrapText="1"/>
    </xf>
    <xf numFmtId="167" fontId="27" fillId="31" borderId="19" xfId="52" applyNumberFormat="1" applyFont="1" applyFill="1" applyBorder="1" applyAlignment="1">
      <alignment horizontal="center" vertical="center" wrapText="1"/>
    </xf>
    <xf numFmtId="0" fontId="27" fillId="31" borderId="17" xfId="52" applyFont="1" applyFill="1" applyBorder="1" applyAlignment="1">
      <alignment horizontal="center" vertical="center" wrapText="1"/>
    </xf>
    <xf numFmtId="16" fontId="27" fillId="0" borderId="17" xfId="52" quotePrefix="1" applyNumberFormat="1" applyFont="1" applyBorder="1" applyAlignment="1">
      <alignment horizontal="center" vertical="center" wrapText="1"/>
    </xf>
    <xf numFmtId="0" fontId="27" fillId="26" borderId="19" xfId="52" applyFont="1" applyFill="1" applyBorder="1" applyAlignment="1">
      <alignment horizontal="center" vertical="center" wrapText="1"/>
    </xf>
    <xf numFmtId="167" fontId="27" fillId="0" borderId="24" xfId="52" applyNumberFormat="1" applyFont="1" applyBorder="1" applyAlignment="1">
      <alignment horizontal="center" vertical="center" wrapText="1"/>
    </xf>
    <xf numFmtId="167" fontId="27" fillId="0" borderId="20" xfId="52" applyNumberFormat="1" applyFont="1" applyBorder="1" applyAlignment="1">
      <alignment horizontal="center" vertical="center" wrapText="1"/>
    </xf>
    <xf numFmtId="167" fontId="27" fillId="0" borderId="69" xfId="52" applyNumberFormat="1" applyFont="1" applyBorder="1" applyAlignment="1">
      <alignment horizontal="center" vertical="center" wrapText="1"/>
    </xf>
    <xf numFmtId="0" fontId="27" fillId="0" borderId="94" xfId="52" applyFont="1" applyBorder="1" applyAlignment="1">
      <alignment horizontal="center" vertical="center" wrapText="1"/>
    </xf>
    <xf numFmtId="0" fontId="27" fillId="26" borderId="95" xfId="52" applyFont="1" applyFill="1" applyBorder="1" applyAlignment="1">
      <alignment horizontal="center" vertical="center" wrapText="1"/>
    </xf>
    <xf numFmtId="167" fontId="27" fillId="0" borderId="96" xfId="52" applyNumberFormat="1" applyFont="1" applyBorder="1" applyAlignment="1">
      <alignment horizontal="center" vertical="center" wrapText="1"/>
    </xf>
    <xf numFmtId="167" fontId="27" fillId="0" borderId="97" xfId="52" applyNumberFormat="1" applyFont="1" applyBorder="1" applyAlignment="1">
      <alignment horizontal="center" vertical="center" wrapText="1"/>
    </xf>
    <xf numFmtId="167" fontId="27" fillId="0" borderId="98" xfId="52" applyNumberFormat="1" applyFont="1" applyBorder="1" applyAlignment="1">
      <alignment horizontal="center" vertical="center" wrapText="1"/>
    </xf>
    <xf numFmtId="167" fontId="27" fillId="0" borderId="99" xfId="52" applyNumberFormat="1" applyFont="1" applyBorder="1" applyAlignment="1">
      <alignment horizontal="center" vertical="center" wrapText="1"/>
    </xf>
    <xf numFmtId="0" fontId="27" fillId="24" borderId="23" xfId="52" applyFont="1" applyFill="1" applyBorder="1" applyAlignment="1">
      <alignment horizontal="center" vertical="center" wrapText="1"/>
    </xf>
    <xf numFmtId="167" fontId="27" fillId="24" borderId="43" xfId="52" applyNumberFormat="1" applyFont="1" applyFill="1" applyBorder="1" applyAlignment="1">
      <alignment horizontal="center" vertical="center" wrapText="1"/>
    </xf>
    <xf numFmtId="0" fontId="27" fillId="0" borderId="101" xfId="52" applyFont="1" applyBorder="1" applyAlignment="1">
      <alignment horizontal="center" vertical="center" wrapText="1"/>
    </xf>
    <xf numFmtId="0" fontId="27" fillId="26" borderId="102" xfId="52" applyFont="1" applyFill="1" applyBorder="1" applyAlignment="1">
      <alignment horizontal="center" vertical="center" wrapText="1"/>
    </xf>
    <xf numFmtId="167" fontId="27" fillId="26" borderId="31" xfId="52" applyNumberFormat="1" applyFont="1" applyFill="1" applyBorder="1" applyAlignment="1">
      <alignment horizontal="center" vertical="center" wrapText="1"/>
    </xf>
    <xf numFmtId="167" fontId="27" fillId="26" borderId="19" xfId="52" applyNumberFormat="1" applyFont="1" applyFill="1" applyBorder="1" applyAlignment="1">
      <alignment horizontal="center" vertical="center" wrapText="1"/>
    </xf>
    <xf numFmtId="0" fontId="27" fillId="0" borderId="50" xfId="52" applyFont="1" applyBorder="1" applyAlignment="1">
      <alignment horizontal="center" vertical="center" wrapText="1"/>
    </xf>
    <xf numFmtId="167" fontId="27" fillId="24" borderId="49" xfId="52" applyNumberFormat="1" applyFont="1" applyFill="1" applyBorder="1" applyAlignment="1">
      <alignment horizontal="center" vertical="center" wrapText="1"/>
    </xf>
    <xf numFmtId="167" fontId="27" fillId="24" borderId="13" xfId="52" applyNumberFormat="1" applyFont="1" applyFill="1" applyBorder="1" applyAlignment="1">
      <alignment horizontal="center" vertical="center" wrapText="1"/>
    </xf>
    <xf numFmtId="167" fontId="27" fillId="24" borderId="50" xfId="52" applyNumberFormat="1" applyFont="1" applyFill="1" applyBorder="1" applyAlignment="1">
      <alignment horizontal="center" vertical="center" wrapText="1"/>
    </xf>
    <xf numFmtId="167" fontId="27" fillId="0" borderId="47" xfId="52" applyNumberFormat="1" applyFont="1" applyBorder="1" applyAlignment="1">
      <alignment horizontal="center" vertical="center" wrapText="1"/>
    </xf>
    <xf numFmtId="167" fontId="27" fillId="31" borderId="16" xfId="52" applyNumberFormat="1" applyFont="1" applyFill="1" applyBorder="1" applyAlignment="1">
      <alignment horizontal="center" vertical="center" wrapText="1"/>
    </xf>
    <xf numFmtId="0" fontId="27" fillId="24" borderId="20" xfId="52" applyFont="1" applyFill="1" applyBorder="1" applyAlignment="1">
      <alignment horizontal="center" vertical="center" wrapText="1"/>
    </xf>
    <xf numFmtId="0" fontId="27" fillId="24" borderId="19" xfId="52" applyFont="1" applyFill="1" applyBorder="1" applyAlignment="1">
      <alignment horizontal="center" vertical="center" wrapText="1"/>
    </xf>
    <xf numFmtId="0" fontId="27" fillId="0" borderId="35" xfId="52" applyFont="1" applyBorder="1" applyAlignment="1">
      <alignment horizontal="center" vertical="center" wrapText="1"/>
    </xf>
    <xf numFmtId="167" fontId="27" fillId="31" borderId="79" xfId="52" applyNumberFormat="1" applyFont="1" applyFill="1" applyBorder="1" applyAlignment="1">
      <alignment horizontal="center" vertical="center" wrapText="1"/>
    </xf>
    <xf numFmtId="0" fontId="27" fillId="0" borderId="19" xfId="52" applyFont="1" applyBorder="1" applyAlignment="1">
      <alignment horizontal="center" vertical="center" wrapText="1"/>
    </xf>
    <xf numFmtId="167" fontId="27" fillId="31" borderId="33" xfId="52" applyNumberFormat="1" applyFont="1" applyFill="1" applyBorder="1" applyAlignment="1">
      <alignment horizontal="center" vertical="center" wrapText="1"/>
    </xf>
    <xf numFmtId="0" fontId="27" fillId="0" borderId="23" xfId="52" applyFont="1" applyBorder="1" applyAlignment="1">
      <alignment horizontal="center" vertical="center" wrapText="1"/>
    </xf>
    <xf numFmtId="0" fontId="46" fillId="0" borderId="13" xfId="52" applyFont="1" applyBorder="1" applyAlignment="1">
      <alignment horizontal="center" vertical="center" wrapText="1"/>
    </xf>
    <xf numFmtId="0" fontId="27" fillId="0" borderId="20" xfId="52" applyFont="1" applyBorder="1" applyAlignment="1">
      <alignment horizontal="center" vertical="center" wrapText="1"/>
    </xf>
    <xf numFmtId="167" fontId="27" fillId="31" borderId="27" xfId="52" applyNumberFormat="1" applyFont="1" applyFill="1" applyBorder="1" applyAlignment="1">
      <alignment horizontal="center" vertical="center" wrapText="1"/>
    </xf>
    <xf numFmtId="0" fontId="26" fillId="0" borderId="0" xfId="52" applyFont="1" applyAlignment="1">
      <alignment horizontal="center"/>
    </xf>
    <xf numFmtId="167" fontId="27" fillId="31" borderId="46" xfId="52" applyNumberFormat="1" applyFont="1" applyFill="1" applyBorder="1" applyAlignment="1">
      <alignment horizontal="center" vertical="center" wrapText="1"/>
    </xf>
    <xf numFmtId="167" fontId="27" fillId="31" borderId="37" xfId="52" applyNumberFormat="1" applyFont="1" applyFill="1" applyBorder="1" applyAlignment="1">
      <alignment horizontal="center" vertical="center" wrapText="1"/>
    </xf>
    <xf numFmtId="167" fontId="27" fillId="31" borderId="71" xfId="52" applyNumberFormat="1" applyFont="1" applyFill="1" applyBorder="1" applyAlignment="1">
      <alignment horizontal="center" vertical="center" wrapText="1"/>
    </xf>
    <xf numFmtId="167" fontId="27" fillId="0" borderId="55" xfId="52" applyNumberFormat="1" applyFont="1" applyBorder="1" applyAlignment="1">
      <alignment horizontal="center" vertical="center" wrapText="1"/>
    </xf>
    <xf numFmtId="167" fontId="27" fillId="0" borderId="71" xfId="52" applyNumberFormat="1" applyFont="1" applyBorder="1" applyAlignment="1">
      <alignment horizontal="center" vertical="center" wrapText="1"/>
    </xf>
    <xf numFmtId="0" fontId="5" fillId="0" borderId="0" xfId="52" applyFont="1"/>
    <xf numFmtId="0" fontId="27" fillId="0" borderId="72" xfId="52" applyFont="1" applyBorder="1" applyAlignment="1">
      <alignment horizontal="center" vertical="center"/>
    </xf>
    <xf numFmtId="0" fontId="27" fillId="0" borderId="59" xfId="52" applyFont="1" applyBorder="1" applyAlignment="1">
      <alignment horizontal="center" vertical="center"/>
    </xf>
    <xf numFmtId="0" fontId="27" fillId="0" borderId="23" xfId="52" applyFont="1" applyBorder="1" applyAlignment="1">
      <alignment horizontal="center" vertical="center"/>
    </xf>
    <xf numFmtId="167" fontId="27" fillId="28" borderId="16" xfId="52" applyNumberFormat="1" applyFont="1" applyFill="1" applyBorder="1" applyAlignment="1">
      <alignment horizontal="center" vertical="center" wrapText="1"/>
    </xf>
    <xf numFmtId="167" fontId="27" fillId="28" borderId="31" xfId="52" applyNumberFormat="1" applyFont="1" applyFill="1" applyBorder="1" applyAlignment="1">
      <alignment horizontal="center" vertical="center" wrapText="1"/>
    </xf>
    <xf numFmtId="167" fontId="27" fillId="28" borderId="19" xfId="52" applyNumberFormat="1" applyFont="1" applyFill="1" applyBorder="1" applyAlignment="1">
      <alignment horizontal="center" vertical="center" wrapText="1"/>
    </xf>
    <xf numFmtId="167" fontId="27" fillId="28" borderId="30" xfId="52" applyNumberFormat="1" applyFont="1" applyFill="1" applyBorder="1" applyAlignment="1">
      <alignment horizontal="center" vertical="center" wrapText="1"/>
    </xf>
    <xf numFmtId="167" fontId="27" fillId="28" borderId="10" xfId="52" applyNumberFormat="1" applyFont="1" applyFill="1" applyBorder="1" applyAlignment="1">
      <alignment horizontal="center" vertical="center" wrapText="1"/>
    </xf>
    <xf numFmtId="0" fontId="27" fillId="25" borderId="41" xfId="52" applyFont="1" applyFill="1" applyBorder="1" applyAlignment="1">
      <alignment horizontal="center" vertical="center" wrapText="1"/>
    </xf>
    <xf numFmtId="0" fontId="27" fillId="24" borderId="43" xfId="52" applyFont="1" applyFill="1" applyBorder="1" applyAlignment="1">
      <alignment horizontal="center" vertical="center" wrapText="1"/>
    </xf>
    <xf numFmtId="0" fontId="27" fillId="26" borderId="23" xfId="52" applyFont="1" applyFill="1" applyBorder="1" applyAlignment="1">
      <alignment horizontal="center" vertical="center" wrapText="1"/>
    </xf>
    <xf numFmtId="0" fontId="27" fillId="26" borderId="20" xfId="52" applyFont="1" applyFill="1" applyBorder="1" applyAlignment="1">
      <alignment horizontal="center" vertical="center" wrapText="1"/>
    </xf>
    <xf numFmtId="167" fontId="27" fillId="31" borderId="48" xfId="52" applyNumberFormat="1" applyFont="1" applyFill="1" applyBorder="1" applyAlignment="1">
      <alignment horizontal="center" vertical="center" wrapText="1"/>
    </xf>
    <xf numFmtId="167" fontId="27" fillId="31" borderId="78" xfId="52" applyNumberFormat="1" applyFont="1" applyFill="1" applyBorder="1" applyAlignment="1">
      <alignment horizontal="center" vertical="center" wrapText="1"/>
    </xf>
    <xf numFmtId="167" fontId="27" fillId="31" borderId="29" xfId="52" applyNumberFormat="1" applyFont="1" applyFill="1" applyBorder="1" applyAlignment="1">
      <alignment horizontal="center" vertical="center" wrapText="1"/>
    </xf>
    <xf numFmtId="167" fontId="27" fillId="26" borderId="24" xfId="52" applyNumberFormat="1" applyFont="1" applyFill="1" applyBorder="1" applyAlignment="1">
      <alignment horizontal="center" vertical="center" wrapText="1"/>
    </xf>
    <xf numFmtId="167" fontId="27" fillId="26" borderId="20" xfId="52" applyNumberFormat="1" applyFont="1" applyFill="1" applyBorder="1" applyAlignment="1">
      <alignment horizontal="center" vertical="center" wrapText="1"/>
    </xf>
    <xf numFmtId="0" fontId="27" fillId="0" borderId="10" xfId="52" applyFont="1" applyBorder="1" applyAlignment="1">
      <alignment vertical="center" wrapText="1"/>
    </xf>
    <xf numFmtId="167" fontId="27" fillId="28" borderId="12" xfId="52" applyNumberFormat="1" applyFont="1" applyFill="1" applyBorder="1" applyAlignment="1">
      <alignment horizontal="center" vertical="center" wrapText="1"/>
    </xf>
    <xf numFmtId="0" fontId="14" fillId="0" borderId="0" xfId="52" applyFont="1"/>
    <xf numFmtId="0" fontId="27" fillId="31" borderId="108" xfId="52" applyFont="1" applyFill="1" applyBorder="1" applyAlignment="1">
      <alignment horizontal="center" vertical="center" wrapText="1"/>
    </xf>
    <xf numFmtId="0" fontId="27" fillId="31" borderId="26" xfId="52" applyFont="1" applyFill="1" applyBorder="1" applyAlignment="1">
      <alignment horizontal="center" vertical="center" wrapText="1"/>
    </xf>
    <xf numFmtId="0" fontId="27" fillId="31" borderId="14" xfId="52" applyFont="1" applyFill="1" applyBorder="1" applyAlignment="1">
      <alignment horizontal="center" vertical="center" wrapText="1"/>
    </xf>
    <xf numFmtId="0" fontId="27" fillId="31" borderId="76" xfId="52" applyFont="1" applyFill="1" applyBorder="1" applyAlignment="1">
      <alignment horizontal="center" vertical="center" wrapText="1"/>
    </xf>
    <xf numFmtId="167" fontId="27" fillId="31" borderId="58" xfId="52" applyNumberFormat="1" applyFont="1" applyFill="1" applyBorder="1" applyAlignment="1">
      <alignment horizontal="center" vertical="center" wrapText="1"/>
    </xf>
    <xf numFmtId="0" fontId="27" fillId="31" borderId="28" xfId="52" applyFont="1" applyFill="1" applyBorder="1" applyAlignment="1">
      <alignment horizontal="center" vertical="center" wrapText="1"/>
    </xf>
    <xf numFmtId="0" fontId="27" fillId="24" borderId="62" xfId="52" applyFont="1" applyFill="1" applyBorder="1" applyAlignment="1">
      <alignment horizontal="center" vertical="center" wrapText="1"/>
    </xf>
    <xf numFmtId="167" fontId="26" fillId="27" borderId="41" xfId="52" applyNumberFormat="1" applyFont="1" applyFill="1" applyBorder="1" applyAlignment="1">
      <alignment horizontal="center" vertical="center" wrapText="1"/>
    </xf>
    <xf numFmtId="167" fontId="26" fillId="27" borderId="42" xfId="52" applyNumberFormat="1" applyFont="1" applyFill="1" applyBorder="1" applyAlignment="1">
      <alignment horizontal="center" vertical="center" wrapText="1"/>
    </xf>
    <xf numFmtId="167" fontId="26" fillId="27" borderId="56" xfId="52" applyNumberFormat="1" applyFont="1" applyFill="1" applyBorder="1" applyAlignment="1">
      <alignment horizontal="center" vertical="center" wrapText="1"/>
    </xf>
    <xf numFmtId="167" fontId="26" fillId="27" borderId="43" xfId="52" applyNumberFormat="1" applyFont="1" applyFill="1" applyBorder="1" applyAlignment="1">
      <alignment horizontal="center" vertical="center" wrapText="1"/>
    </xf>
    <xf numFmtId="167" fontId="26" fillId="27" borderId="54" xfId="52" applyNumberFormat="1" applyFont="1" applyFill="1" applyBorder="1" applyAlignment="1">
      <alignment horizontal="center" vertical="center" wrapText="1"/>
    </xf>
    <xf numFmtId="167" fontId="8" fillId="0" borderId="0" xfId="52" applyNumberFormat="1"/>
    <xf numFmtId="167" fontId="26" fillId="0" borderId="81" xfId="52" applyNumberFormat="1" applyFont="1" applyBorder="1" applyAlignment="1">
      <alignment horizontal="center" vertical="center" wrapText="1"/>
    </xf>
    <xf numFmtId="167" fontId="26" fillId="0" borderId="35" xfId="52" applyNumberFormat="1" applyFont="1" applyBorder="1" applyAlignment="1">
      <alignment horizontal="center" vertical="center" wrapText="1"/>
    </xf>
    <xf numFmtId="167" fontId="26" fillId="0" borderId="84" xfId="52" applyNumberFormat="1" applyFont="1" applyBorder="1" applyAlignment="1">
      <alignment horizontal="center" vertical="center" wrapText="1"/>
    </xf>
    <xf numFmtId="167" fontId="26" fillId="0" borderId="18" xfId="52" applyNumberFormat="1" applyFont="1" applyBorder="1" applyAlignment="1">
      <alignment horizontal="center" vertical="center" wrapText="1"/>
    </xf>
    <xf numFmtId="167" fontId="26" fillId="0" borderId="14" xfId="52" applyNumberFormat="1" applyFont="1" applyBorder="1" applyAlignment="1">
      <alignment horizontal="center" vertical="center" wrapText="1"/>
    </xf>
    <xf numFmtId="167" fontId="26" fillId="0" borderId="28" xfId="52" applyNumberFormat="1" applyFont="1" applyBorder="1" applyAlignment="1">
      <alignment horizontal="center" vertical="center" wrapText="1"/>
    </xf>
    <xf numFmtId="167" fontId="26" fillId="0" borderId="36" xfId="52" applyNumberFormat="1" applyFont="1" applyBorder="1" applyAlignment="1">
      <alignment horizontal="center" vertical="center" wrapText="1"/>
    </xf>
    <xf numFmtId="167" fontId="26" fillId="0" borderId="17" xfId="52" applyNumberFormat="1" applyFont="1" applyBorder="1" applyAlignment="1">
      <alignment horizontal="center" vertical="center" wrapText="1"/>
    </xf>
    <xf numFmtId="167" fontId="26" fillId="0" borderId="11" xfId="52" applyNumberFormat="1" applyFont="1" applyBorder="1" applyAlignment="1">
      <alignment horizontal="center" vertical="center" wrapText="1"/>
    </xf>
    <xf numFmtId="167" fontId="26" fillId="0" borderId="46" xfId="52" applyNumberFormat="1" applyFont="1" applyBorder="1" applyAlignment="1">
      <alignment horizontal="center" vertical="center" wrapText="1"/>
    </xf>
    <xf numFmtId="167" fontId="26" fillId="0" borderId="82" xfId="52" applyNumberFormat="1" applyFont="1" applyBorder="1" applyAlignment="1">
      <alignment horizontal="center" vertical="center" wrapText="1"/>
    </xf>
    <xf numFmtId="167" fontId="26" fillId="0" borderId="30" xfId="52" applyNumberFormat="1" applyFont="1" applyBorder="1" applyAlignment="1">
      <alignment horizontal="center" vertical="center" wrapText="1"/>
    </xf>
    <xf numFmtId="167" fontId="26" fillId="0" borderId="19" xfId="52" applyNumberFormat="1" applyFont="1" applyBorder="1" applyAlignment="1">
      <alignment horizontal="center" vertical="center" wrapText="1"/>
    </xf>
    <xf numFmtId="167" fontId="26" fillId="0" borderId="34" xfId="52" applyNumberFormat="1" applyFont="1" applyBorder="1" applyAlignment="1">
      <alignment horizontal="center" vertical="center" wrapText="1"/>
    </xf>
    <xf numFmtId="167" fontId="26" fillId="0" borderId="41" xfId="52" applyNumberFormat="1" applyFont="1" applyBorder="1" applyAlignment="1">
      <alignment horizontal="center" vertical="center" wrapText="1"/>
    </xf>
    <xf numFmtId="167" fontId="26" fillId="0" borderId="42" xfId="52" applyNumberFormat="1" applyFont="1" applyBorder="1" applyAlignment="1">
      <alignment horizontal="center" vertical="center" wrapText="1"/>
    </xf>
    <xf numFmtId="167" fontId="26" fillId="0" borderId="43" xfId="52" applyNumberFormat="1" applyFont="1" applyBorder="1" applyAlignment="1">
      <alignment horizontal="center" vertical="center" wrapText="1"/>
    </xf>
    <xf numFmtId="167" fontId="26" fillId="0" borderId="0" xfId="52" applyNumberFormat="1" applyFont="1" applyAlignment="1">
      <alignment horizontal="left"/>
    </xf>
    <xf numFmtId="167" fontId="27" fillId="0" borderId="0" xfId="52" applyNumberFormat="1" applyFont="1" applyAlignment="1">
      <alignment horizontal="left"/>
    </xf>
    <xf numFmtId="0" fontId="25" fillId="0" borderId="0" xfId="52" applyFont="1"/>
    <xf numFmtId="0" fontId="25" fillId="0" borderId="0" xfId="52" applyFont="1" applyAlignment="1">
      <alignment horizontal="center"/>
    </xf>
    <xf numFmtId="0" fontId="29" fillId="0" borderId="0" xfId="52" applyFont="1"/>
    <xf numFmtId="0" fontId="25" fillId="0" borderId="0" xfId="52" applyFont="1" applyAlignment="1">
      <alignment horizontal="left"/>
    </xf>
    <xf numFmtId="167" fontId="26" fillId="0" borderId="0" xfId="52" applyNumberFormat="1" applyFont="1"/>
    <xf numFmtId="167" fontId="25" fillId="0" borderId="0" xfId="52" applyNumberFormat="1" applyFont="1"/>
    <xf numFmtId="0" fontId="53" fillId="0" borderId="0" xfId="52" applyFont="1" applyAlignment="1">
      <alignment horizontal="center"/>
    </xf>
    <xf numFmtId="0" fontId="53" fillId="0" borderId="0" xfId="52" applyFont="1" applyAlignment="1">
      <alignment horizontal="left"/>
    </xf>
    <xf numFmtId="0" fontId="53" fillId="0" borderId="0" xfId="52" applyFont="1"/>
    <xf numFmtId="167" fontId="53" fillId="0" borderId="0" xfId="52" applyNumberFormat="1" applyFont="1"/>
    <xf numFmtId="0" fontId="54" fillId="0" borderId="0" xfId="52" applyFont="1"/>
    <xf numFmtId="0" fontId="47" fillId="0" borderId="0" xfId="52" applyFont="1" applyAlignment="1">
      <alignment horizontal="center"/>
    </xf>
    <xf numFmtId="0" fontId="47" fillId="0" borderId="0" xfId="52" applyFont="1" applyAlignment="1">
      <alignment horizontal="left"/>
    </xf>
    <xf numFmtId="0" fontId="47" fillId="0" borderId="0" xfId="52" applyFont="1"/>
    <xf numFmtId="0" fontId="55" fillId="0" borderId="0" xfId="52" applyFont="1"/>
    <xf numFmtId="167" fontId="26" fillId="50" borderId="35" xfId="0" applyNumberFormat="1" applyFont="1" applyFill="1" applyBorder="1" applyAlignment="1">
      <alignment horizontal="center" vertical="center"/>
    </xf>
    <xf numFmtId="167" fontId="26" fillId="0" borderId="74" xfId="0" applyNumberFormat="1" applyFont="1" applyBorder="1" applyAlignment="1">
      <alignment horizontal="center" vertical="center"/>
    </xf>
    <xf numFmtId="167" fontId="26" fillId="50" borderId="27" xfId="0" applyNumberFormat="1" applyFont="1" applyFill="1" applyBorder="1" applyAlignment="1">
      <alignment horizontal="center" vertical="center"/>
    </xf>
    <xf numFmtId="167" fontId="26" fillId="0" borderId="37" xfId="0" applyNumberFormat="1" applyFont="1" applyBorder="1" applyAlignment="1">
      <alignment horizontal="center" vertical="center"/>
    </xf>
    <xf numFmtId="167" fontId="26" fillId="0" borderId="56" xfId="0" applyNumberFormat="1" applyFont="1" applyBorder="1" applyAlignment="1">
      <alignment horizontal="center" vertical="center"/>
    </xf>
    <xf numFmtId="0" fontId="27" fillId="25" borderId="57" xfId="46" applyFont="1" applyFill="1" applyBorder="1" applyAlignment="1">
      <alignment horizontal="center" vertical="center" wrapText="1"/>
    </xf>
    <xf numFmtId="0" fontId="27" fillId="0" borderId="26" xfId="46" applyFont="1" applyBorder="1" applyAlignment="1" applyProtection="1">
      <alignment horizontal="center" vertical="center" wrapText="1"/>
      <protection locked="0"/>
    </xf>
    <xf numFmtId="167" fontId="27" fillId="0" borderId="25" xfId="46" applyNumberFormat="1" applyFont="1" applyBorder="1" applyAlignment="1" applyProtection="1">
      <alignment horizontal="center" vertical="center" wrapText="1"/>
      <protection locked="0"/>
    </xf>
    <xf numFmtId="167" fontId="27" fillId="0" borderId="16" xfId="46" applyNumberFormat="1" applyFont="1" applyBorder="1" applyAlignment="1" applyProtection="1">
      <alignment horizontal="center" vertical="center" wrapText="1"/>
      <protection locked="0"/>
    </xf>
    <xf numFmtId="167" fontId="27" fillId="31" borderId="31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19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41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42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43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54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56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13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44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27" xfId="46" applyNumberFormat="1" applyFont="1" applyBorder="1" applyAlignment="1" applyProtection="1">
      <alignment horizontal="center" vertical="center" wrapText="1"/>
      <protection locked="0"/>
    </xf>
    <xf numFmtId="167" fontId="27" fillId="0" borderId="11" xfId="46" applyNumberFormat="1" applyFont="1" applyBorder="1" applyAlignment="1" applyProtection="1">
      <alignment horizontal="center" vertical="center" wrapText="1"/>
      <protection locked="0"/>
    </xf>
    <xf numFmtId="167" fontId="27" fillId="0" borderId="58" xfId="46" applyNumberFormat="1" applyFont="1" applyBorder="1" applyAlignment="1" applyProtection="1">
      <alignment horizontal="center" vertical="center" wrapText="1"/>
      <protection locked="0"/>
    </xf>
    <xf numFmtId="167" fontId="27" fillId="0" borderId="15" xfId="46" applyNumberFormat="1" applyFont="1" applyBorder="1" applyAlignment="1" applyProtection="1">
      <alignment horizontal="center" vertical="center" wrapText="1"/>
      <protection locked="0"/>
    </xf>
    <xf numFmtId="167" fontId="27" fillId="28" borderId="70" xfId="46" applyNumberFormat="1" applyFont="1" applyFill="1" applyBorder="1" applyAlignment="1" applyProtection="1">
      <alignment horizontal="center" vertical="center" wrapText="1"/>
      <protection locked="0"/>
    </xf>
    <xf numFmtId="0" fontId="27" fillId="0" borderId="59" xfId="46" applyFont="1" applyBorder="1" applyAlignment="1" applyProtection="1">
      <alignment horizontal="center" vertical="center" wrapText="1"/>
      <protection locked="0"/>
    </xf>
    <xf numFmtId="167" fontId="27" fillId="0" borderId="54" xfId="46" applyNumberFormat="1" applyFont="1" applyBorder="1" applyAlignment="1" applyProtection="1">
      <alignment horizontal="center" vertical="center" wrapText="1"/>
      <protection locked="0"/>
    </xf>
    <xf numFmtId="167" fontId="27" fillId="0" borderId="42" xfId="46" applyNumberFormat="1" applyFont="1" applyBorder="1" applyAlignment="1" applyProtection="1">
      <alignment horizontal="center" vertical="center" wrapText="1"/>
      <protection locked="0"/>
    </xf>
    <xf numFmtId="167" fontId="27" fillId="28" borderId="55" xfId="46" applyNumberFormat="1" applyFont="1" applyFill="1" applyBorder="1" applyAlignment="1" applyProtection="1">
      <alignment horizontal="center" vertical="center" wrapText="1"/>
      <protection locked="0"/>
    </xf>
    <xf numFmtId="0" fontId="27" fillId="24" borderId="20" xfId="46" applyFont="1" applyFill="1" applyBorder="1" applyAlignment="1" applyProtection="1">
      <alignment horizontal="center" vertical="center" wrapText="1"/>
      <protection locked="0"/>
    </xf>
    <xf numFmtId="167" fontId="27" fillId="24" borderId="49" xfId="46" applyNumberFormat="1" applyFont="1" applyFill="1" applyBorder="1" applyAlignment="1" applyProtection="1">
      <alignment horizontal="center" vertical="center" wrapText="1"/>
      <protection locked="0"/>
    </xf>
    <xf numFmtId="167" fontId="27" fillId="24" borderId="13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30" xfId="46" applyNumberFormat="1" applyFont="1" applyBorder="1" applyAlignment="1" applyProtection="1">
      <alignment horizontal="center" vertical="center" wrapText="1"/>
      <protection locked="0"/>
    </xf>
    <xf numFmtId="167" fontId="27" fillId="31" borderId="30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72" xfId="46" applyNumberFormat="1" applyFont="1" applyBorder="1" applyAlignment="1" applyProtection="1">
      <alignment horizontal="center" vertical="center" wrapText="1"/>
      <protection locked="0"/>
    </xf>
    <xf numFmtId="167" fontId="27" fillId="0" borderId="62" xfId="46" applyNumberFormat="1" applyFont="1" applyBorder="1" applyAlignment="1" applyProtection="1">
      <alignment horizontal="center" vertical="center" wrapText="1"/>
      <protection locked="0"/>
    </xf>
    <xf numFmtId="167" fontId="27" fillId="28" borderId="38" xfId="46" applyNumberFormat="1" applyFont="1" applyFill="1" applyBorder="1" applyAlignment="1" applyProtection="1">
      <alignment horizontal="center" vertical="center" wrapText="1"/>
      <protection locked="0"/>
    </xf>
    <xf numFmtId="0" fontId="27" fillId="0" borderId="41" xfId="46" applyFont="1" applyBorder="1" applyAlignment="1" applyProtection="1">
      <alignment horizontal="center" vertical="center"/>
      <protection locked="0"/>
    </xf>
    <xf numFmtId="0" fontId="27" fillId="0" borderId="42" xfId="46" applyFont="1" applyBorder="1" applyAlignment="1" applyProtection="1">
      <alignment horizontal="center" vertical="center" wrapText="1"/>
      <protection locked="0"/>
    </xf>
    <xf numFmtId="0" fontId="27" fillId="0" borderId="43" xfId="46" applyFont="1" applyBorder="1" applyAlignment="1" applyProtection="1">
      <alignment horizontal="center" vertical="center" wrapText="1"/>
      <protection locked="0"/>
    </xf>
    <xf numFmtId="0" fontId="25" fillId="33" borderId="73" xfId="46" applyFont="1" applyFill="1" applyBorder="1" applyAlignment="1">
      <alignment horizontal="center" vertical="center"/>
    </xf>
    <xf numFmtId="167" fontId="27" fillId="33" borderId="53" xfId="46" applyNumberFormat="1" applyFont="1" applyFill="1" applyBorder="1" applyAlignment="1">
      <alignment horizontal="center" vertical="center" wrapText="1"/>
    </xf>
    <xf numFmtId="167" fontId="27" fillId="33" borderId="13" xfId="46" applyNumberFormat="1" applyFont="1" applyFill="1" applyBorder="1" applyAlignment="1">
      <alignment horizontal="center" vertical="center" wrapText="1"/>
    </xf>
    <xf numFmtId="167" fontId="27" fillId="33" borderId="60" xfId="46" applyNumberFormat="1" applyFont="1" applyFill="1" applyBorder="1" applyAlignment="1">
      <alignment horizontal="center" vertical="center" wrapText="1"/>
    </xf>
    <xf numFmtId="0" fontId="27" fillId="24" borderId="10" xfId="46" applyFont="1" applyFill="1" applyBorder="1" applyAlignment="1" applyProtection="1">
      <alignment horizontal="center" vertical="center" wrapText="1"/>
      <protection locked="0"/>
    </xf>
    <xf numFmtId="167" fontId="27" fillId="0" borderId="69" xfId="46" applyNumberFormat="1" applyFont="1" applyBorder="1" applyAlignment="1">
      <alignment horizontal="center" vertical="center" wrapText="1"/>
    </xf>
    <xf numFmtId="167" fontId="27" fillId="0" borderId="86" xfId="46" applyNumberFormat="1" applyFont="1" applyBorder="1" applyAlignment="1">
      <alignment horizontal="center" vertical="center" wrapText="1"/>
    </xf>
    <xf numFmtId="167" fontId="27" fillId="31" borderId="36" xfId="46" applyNumberFormat="1" applyFont="1" applyFill="1" applyBorder="1" applyAlignment="1">
      <alignment horizontal="center" vertical="center" wrapText="1"/>
    </xf>
    <xf numFmtId="0" fontId="5" fillId="0" borderId="0" xfId="46" applyAlignment="1">
      <alignment horizontal="center"/>
    </xf>
    <xf numFmtId="0" fontId="27" fillId="0" borderId="71" xfId="46" applyFont="1" applyBorder="1" applyAlignment="1">
      <alignment horizontal="center" vertical="center" wrapText="1"/>
    </xf>
    <xf numFmtId="167" fontId="27" fillId="0" borderId="74" xfId="46" applyNumberFormat="1" applyFont="1" applyBorder="1" applyAlignment="1">
      <alignment horizontal="center" vertical="center" wrapText="1"/>
    </xf>
    <xf numFmtId="167" fontId="27" fillId="28" borderId="71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63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25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16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75" xfId="46" applyNumberFormat="1" applyFont="1" applyBorder="1" applyAlignment="1" applyProtection="1">
      <alignment horizontal="center" vertical="center" wrapText="1"/>
      <protection locked="0"/>
    </xf>
    <xf numFmtId="167" fontId="27" fillId="28" borderId="58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59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23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22" xfId="46" applyNumberFormat="1" applyFont="1" applyFill="1" applyBorder="1" applyAlignment="1" applyProtection="1">
      <alignment horizontal="center" vertical="center" wrapText="1"/>
      <protection locked="0"/>
    </xf>
    <xf numFmtId="0" fontId="27" fillId="26" borderId="62" xfId="46" applyFont="1" applyFill="1" applyBorder="1" applyAlignment="1" applyProtection="1">
      <alignment horizontal="center" vertical="center" wrapText="1"/>
      <protection locked="0"/>
    </xf>
    <xf numFmtId="0" fontId="27" fillId="0" borderId="61" xfId="46" applyFont="1" applyBorder="1" applyAlignment="1" applyProtection="1">
      <alignment horizontal="center" vertical="center" wrapText="1"/>
      <protection locked="0"/>
    </xf>
    <xf numFmtId="167" fontId="27" fillId="0" borderId="41" xfId="46" applyNumberFormat="1" applyFont="1" applyBorder="1" applyAlignment="1" applyProtection="1">
      <alignment horizontal="center" vertical="center" wrapText="1"/>
      <protection locked="0"/>
    </xf>
    <xf numFmtId="167" fontId="27" fillId="0" borderId="56" xfId="46" applyNumberFormat="1" applyFont="1" applyBorder="1" applyAlignment="1" applyProtection="1">
      <alignment horizontal="center" vertical="center" wrapText="1"/>
      <protection locked="0"/>
    </xf>
    <xf numFmtId="167" fontId="27" fillId="31" borderId="38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56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38" xfId="46" applyNumberFormat="1" applyFont="1" applyBorder="1" applyAlignment="1" applyProtection="1">
      <alignment horizontal="center" vertical="center" wrapText="1"/>
      <protection locked="0"/>
    </xf>
    <xf numFmtId="167" fontId="27" fillId="0" borderId="43" xfId="46" applyNumberFormat="1" applyFont="1" applyBorder="1" applyAlignment="1" applyProtection="1">
      <alignment horizontal="center" vertical="center" wrapText="1"/>
      <protection locked="0"/>
    </xf>
    <xf numFmtId="167" fontId="27" fillId="0" borderId="81" xfId="46" applyNumberFormat="1" applyFont="1" applyBorder="1" applyAlignment="1" applyProtection="1">
      <alignment horizontal="center" vertical="center" wrapText="1"/>
      <protection locked="0"/>
    </xf>
    <xf numFmtId="167" fontId="27" fillId="0" borderId="18" xfId="46" applyNumberFormat="1" applyFont="1" applyBorder="1" applyAlignment="1" applyProtection="1">
      <alignment horizontal="center" vertical="center" wrapText="1"/>
      <protection locked="0"/>
    </xf>
    <xf numFmtId="167" fontId="27" fillId="31" borderId="17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55" xfId="46" applyNumberFormat="1" applyFont="1" applyBorder="1" applyAlignment="1" applyProtection="1">
      <alignment horizontal="center" vertical="center" wrapText="1"/>
      <protection locked="0"/>
    </xf>
    <xf numFmtId="167" fontId="27" fillId="0" borderId="74" xfId="46" applyNumberFormat="1" applyFont="1" applyBorder="1" applyAlignment="1" applyProtection="1">
      <alignment horizontal="center" vertical="center" wrapText="1"/>
      <protection locked="0"/>
    </xf>
    <xf numFmtId="167" fontId="27" fillId="0" borderId="63" xfId="46" applyNumberFormat="1" applyFont="1" applyBorder="1" applyAlignment="1" applyProtection="1">
      <alignment horizontal="center" vertical="center" wrapText="1"/>
      <protection locked="0"/>
    </xf>
    <xf numFmtId="167" fontId="27" fillId="0" borderId="71" xfId="46" applyNumberFormat="1" applyFont="1" applyBorder="1" applyAlignment="1" applyProtection="1">
      <alignment horizontal="center" vertical="center" wrapText="1"/>
      <protection locked="0"/>
    </xf>
    <xf numFmtId="0" fontId="27" fillId="24" borderId="28" xfId="46" applyFont="1" applyFill="1" applyBorder="1" applyAlignment="1" applyProtection="1">
      <alignment horizontal="center" vertical="center" wrapText="1"/>
      <protection locked="0"/>
    </xf>
    <xf numFmtId="167" fontId="27" fillId="24" borderId="41" xfId="46" applyNumberFormat="1" applyFont="1" applyFill="1" applyBorder="1" applyAlignment="1" applyProtection="1">
      <alignment horizontal="center" vertical="center" wrapText="1"/>
      <protection locked="0"/>
    </xf>
    <xf numFmtId="167" fontId="27" fillId="24" borderId="42" xfId="46" applyNumberFormat="1" applyFont="1" applyFill="1" applyBorder="1" applyAlignment="1" applyProtection="1">
      <alignment horizontal="center" vertical="center" wrapText="1"/>
      <protection locked="0"/>
    </xf>
    <xf numFmtId="0" fontId="27" fillId="26" borderId="71" xfId="46" applyFont="1" applyFill="1" applyBorder="1" applyAlignment="1" applyProtection="1">
      <alignment horizontal="center" vertical="center" wrapText="1"/>
      <protection locked="0"/>
    </xf>
    <xf numFmtId="167" fontId="27" fillId="28" borderId="49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50" xfId="46" applyNumberFormat="1" applyFont="1" applyFill="1" applyBorder="1" applyAlignment="1" applyProtection="1">
      <alignment horizontal="center" vertical="center" wrapText="1"/>
      <protection locked="0"/>
    </xf>
    <xf numFmtId="167" fontId="27" fillId="28" borderId="53" xfId="46" applyNumberFormat="1" applyFont="1" applyFill="1" applyBorder="1" applyAlignment="1" applyProtection="1">
      <alignment horizontal="center" vertical="center" wrapText="1"/>
      <protection locked="0"/>
    </xf>
    <xf numFmtId="0" fontId="27" fillId="26" borderId="43" xfId="46" applyFont="1" applyFill="1" applyBorder="1" applyAlignment="1" applyProtection="1">
      <alignment horizontal="center" vertical="center" wrapText="1"/>
      <protection locked="0"/>
    </xf>
    <xf numFmtId="0" fontId="27" fillId="0" borderId="12" xfId="46" applyFont="1" applyBorder="1" applyAlignment="1" applyProtection="1">
      <alignment horizontal="center" vertical="center" wrapText="1"/>
      <protection locked="0"/>
    </xf>
    <xf numFmtId="0" fontId="27" fillId="26" borderId="26" xfId="46" applyFont="1" applyFill="1" applyBorder="1" applyAlignment="1" applyProtection="1">
      <alignment horizontal="center" vertical="center" wrapText="1"/>
      <protection locked="0"/>
    </xf>
    <xf numFmtId="0" fontId="27" fillId="0" borderId="29" xfId="46" applyFont="1" applyBorder="1" applyAlignment="1" applyProtection="1">
      <alignment horizontal="center" vertical="center" wrapText="1"/>
      <protection locked="0"/>
    </xf>
    <xf numFmtId="0" fontId="27" fillId="25" borderId="70" xfId="46" applyFont="1" applyFill="1" applyBorder="1" applyAlignment="1" applyProtection="1">
      <alignment horizontal="center" vertical="center" wrapText="1"/>
      <protection locked="0"/>
    </xf>
    <xf numFmtId="0" fontId="27" fillId="24" borderId="71" xfId="46" applyFont="1" applyFill="1" applyBorder="1" applyAlignment="1" applyProtection="1">
      <alignment horizontal="center" vertical="center" wrapText="1"/>
      <protection locked="0"/>
    </xf>
    <xf numFmtId="167" fontId="27" fillId="24" borderId="63" xfId="46" applyNumberFormat="1" applyFont="1" applyFill="1" applyBorder="1" applyAlignment="1" applyProtection="1">
      <alignment horizontal="center" vertical="center" wrapText="1"/>
      <protection locked="0"/>
    </xf>
    <xf numFmtId="167" fontId="27" fillId="24" borderId="55" xfId="46" applyNumberFormat="1" applyFont="1" applyFill="1" applyBorder="1" applyAlignment="1" applyProtection="1">
      <alignment horizontal="center" vertical="center" wrapText="1"/>
      <protection locked="0"/>
    </xf>
    <xf numFmtId="0" fontId="27" fillId="25" borderId="77" xfId="46" applyFont="1" applyFill="1" applyBorder="1" applyAlignment="1" applyProtection="1">
      <alignment horizontal="center" vertical="center" wrapText="1"/>
      <protection locked="0"/>
    </xf>
    <xf numFmtId="0" fontId="27" fillId="24" borderId="77" xfId="46" applyFont="1" applyFill="1" applyBorder="1" applyAlignment="1" applyProtection="1">
      <alignment horizontal="center" vertical="center" wrapText="1"/>
      <protection locked="0"/>
    </xf>
    <xf numFmtId="167" fontId="28" fillId="0" borderId="25" xfId="46" applyNumberFormat="1" applyFont="1" applyBorder="1" applyAlignment="1" applyProtection="1">
      <alignment horizontal="center" vertical="center" wrapText="1"/>
      <protection locked="0"/>
    </xf>
    <xf numFmtId="167" fontId="27" fillId="0" borderId="12" xfId="56" applyNumberFormat="1" applyFont="1" applyBorder="1" applyAlignment="1" applyProtection="1">
      <alignment horizontal="center" vertical="center" wrapText="1"/>
      <protection locked="0"/>
    </xf>
    <xf numFmtId="167" fontId="28" fillId="0" borderId="26" xfId="56" applyNumberFormat="1" applyFont="1" applyBorder="1" applyAlignment="1" applyProtection="1">
      <alignment horizontal="center" vertical="center" wrapText="1"/>
      <protection locked="0"/>
    </xf>
    <xf numFmtId="167" fontId="27" fillId="31" borderId="12" xfId="56" applyNumberFormat="1" applyFont="1" applyFill="1" applyBorder="1" applyAlignment="1" applyProtection="1">
      <alignment horizontal="center" vertical="center" wrapText="1"/>
      <protection locked="0"/>
    </xf>
    <xf numFmtId="167" fontId="27" fillId="31" borderId="26" xfId="56" applyNumberFormat="1" applyFont="1" applyFill="1" applyBorder="1" applyAlignment="1" applyProtection="1">
      <alignment horizontal="center" vertical="center" wrapText="1"/>
      <protection locked="0"/>
    </xf>
    <xf numFmtId="167" fontId="27" fillId="0" borderId="14" xfId="56" applyNumberFormat="1" applyFont="1" applyBorder="1" applyAlignment="1" applyProtection="1">
      <alignment horizontal="center" vertical="center" wrapText="1"/>
      <protection locked="0"/>
    </xf>
    <xf numFmtId="167" fontId="30" fillId="0" borderId="28" xfId="56" applyNumberFormat="1" applyFont="1" applyBorder="1" applyAlignment="1" applyProtection="1">
      <alignment horizontal="center" vertical="center" wrapText="1"/>
      <protection locked="0"/>
    </xf>
    <xf numFmtId="167" fontId="27" fillId="31" borderId="11" xfId="56" applyNumberFormat="1" applyFont="1" applyFill="1" applyBorder="1" applyAlignment="1" applyProtection="1">
      <alignment horizontal="center" vertical="center" wrapText="1"/>
      <protection locked="0"/>
    </xf>
    <xf numFmtId="167" fontId="27" fillId="31" borderId="14" xfId="56" applyNumberFormat="1" applyFont="1" applyFill="1" applyBorder="1" applyAlignment="1" applyProtection="1">
      <alignment horizontal="center" vertical="center" wrapText="1"/>
      <protection locked="0"/>
    </xf>
    <xf numFmtId="167" fontId="27" fillId="31" borderId="28" xfId="56" applyNumberFormat="1" applyFont="1" applyFill="1" applyBorder="1" applyAlignment="1" applyProtection="1">
      <alignment horizontal="center" vertical="center" wrapText="1"/>
      <protection locked="0"/>
    </xf>
    <xf numFmtId="167" fontId="27" fillId="31" borderId="11" xfId="46" applyNumberFormat="1" applyFont="1" applyFill="1" applyBorder="1" applyAlignment="1" applyProtection="1">
      <alignment horizontal="center" vertical="center" wrapText="1"/>
      <protection locked="0"/>
    </xf>
    <xf numFmtId="0" fontId="27" fillId="0" borderId="76" xfId="46" applyFont="1" applyBorder="1" applyAlignment="1" applyProtection="1">
      <alignment horizontal="center" vertical="center" wrapText="1"/>
      <protection locked="0"/>
    </xf>
    <xf numFmtId="167" fontId="27" fillId="0" borderId="59" xfId="56" applyNumberFormat="1" applyFont="1" applyBorder="1" applyAlignment="1" applyProtection="1">
      <alignment horizontal="center" vertical="center" wrapText="1"/>
      <protection locked="0"/>
    </xf>
    <xf numFmtId="167" fontId="27" fillId="0" borderId="23" xfId="56" applyNumberFormat="1" applyFont="1" applyBorder="1" applyAlignment="1" applyProtection="1">
      <alignment horizontal="center" vertical="center" wrapText="1"/>
      <protection locked="0"/>
    </xf>
    <xf numFmtId="167" fontId="27" fillId="31" borderId="58" xfId="56" applyNumberFormat="1" applyFont="1" applyFill="1" applyBorder="1" applyAlignment="1" applyProtection="1">
      <alignment horizontal="center" vertical="center" wrapText="1"/>
      <protection locked="0"/>
    </xf>
    <xf numFmtId="167" fontId="27" fillId="31" borderId="59" xfId="56" applyNumberFormat="1" applyFont="1" applyFill="1" applyBorder="1" applyAlignment="1" applyProtection="1">
      <alignment horizontal="center" vertical="center" wrapText="1"/>
      <protection locked="0"/>
    </xf>
    <xf numFmtId="167" fontId="27" fillId="31" borderId="23" xfId="56" applyNumberFormat="1" applyFont="1" applyFill="1" applyBorder="1" applyAlignment="1" applyProtection="1">
      <alignment horizontal="center" vertical="center" wrapText="1"/>
      <protection locked="0"/>
    </xf>
    <xf numFmtId="0" fontId="27" fillId="26" borderId="23" xfId="46" applyFont="1" applyFill="1" applyBorder="1" applyAlignment="1" applyProtection="1">
      <alignment horizontal="center" vertical="center" wrapText="1"/>
      <protection locked="0"/>
    </xf>
    <xf numFmtId="167" fontId="27" fillId="32" borderId="41" xfId="46" applyNumberFormat="1" applyFont="1" applyFill="1" applyBorder="1" applyAlignment="1" applyProtection="1">
      <alignment horizontal="center" vertical="center" wrapText="1"/>
      <protection locked="0"/>
    </xf>
    <xf numFmtId="167" fontId="27" fillId="32" borderId="56" xfId="46" applyNumberFormat="1" applyFont="1" applyFill="1" applyBorder="1" applyAlignment="1" applyProtection="1">
      <alignment horizontal="center" vertical="center" wrapText="1"/>
      <protection locked="0"/>
    </xf>
    <xf numFmtId="167" fontId="27" fillId="32" borderId="43" xfId="46" applyNumberFormat="1" applyFont="1" applyFill="1" applyBorder="1" applyAlignment="1" applyProtection="1">
      <alignment horizontal="center" vertical="center" wrapText="1"/>
      <protection locked="0"/>
    </xf>
    <xf numFmtId="0" fontId="27" fillId="26" borderId="10" xfId="46" applyFont="1" applyFill="1" applyBorder="1" applyAlignment="1" applyProtection="1">
      <alignment horizontal="center" vertical="center" wrapText="1"/>
      <protection locked="0"/>
    </xf>
    <xf numFmtId="167" fontId="27" fillId="31" borderId="49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13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50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49" xfId="46" applyNumberFormat="1" applyFont="1" applyBorder="1" applyAlignment="1" applyProtection="1">
      <alignment horizontal="center" vertical="center" wrapText="1"/>
      <protection locked="0"/>
    </xf>
    <xf numFmtId="167" fontId="27" fillId="0" borderId="13" xfId="46" applyNumberFormat="1" applyFont="1" applyBorder="1" applyAlignment="1" applyProtection="1">
      <alignment horizontal="center" vertical="center" wrapText="1"/>
      <protection locked="0"/>
    </xf>
    <xf numFmtId="167" fontId="27" fillId="0" borderId="50" xfId="46" applyNumberFormat="1" applyFont="1" applyBorder="1" applyAlignment="1" applyProtection="1">
      <alignment horizontal="center" vertical="center" wrapText="1"/>
      <protection locked="0"/>
    </xf>
    <xf numFmtId="167" fontId="27" fillId="31" borderId="23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22" xfId="46" applyNumberFormat="1" applyFont="1" applyFill="1" applyBorder="1" applyAlignment="1" applyProtection="1">
      <alignment horizontal="center" vertical="center" wrapText="1"/>
      <protection locked="0"/>
    </xf>
    <xf numFmtId="167" fontId="27" fillId="31" borderId="62" xfId="46" applyNumberFormat="1" applyFont="1" applyFill="1" applyBorder="1" applyAlignment="1" applyProtection="1">
      <alignment horizontal="center" vertical="center" wrapText="1"/>
      <protection locked="0"/>
    </xf>
    <xf numFmtId="167" fontId="27" fillId="24" borderId="54" xfId="46" applyNumberFormat="1" applyFont="1" applyFill="1" applyBorder="1" applyAlignment="1" applyProtection="1">
      <alignment horizontal="center" vertical="center" wrapText="1"/>
      <protection locked="0"/>
    </xf>
    <xf numFmtId="0" fontId="27" fillId="25" borderId="21" xfId="46" applyFont="1" applyFill="1" applyBorder="1" applyAlignment="1" applyProtection="1">
      <alignment horizontal="center" vertical="center" wrapText="1"/>
      <protection locked="0"/>
    </xf>
    <xf numFmtId="167" fontId="27" fillId="25" borderId="48" xfId="46" applyNumberFormat="1" applyFont="1" applyFill="1" applyBorder="1" applyAlignment="1" applyProtection="1">
      <alignment horizontal="center" vertical="center" wrapText="1"/>
      <protection locked="0"/>
    </xf>
    <xf numFmtId="167" fontId="27" fillId="25" borderId="29" xfId="46" applyNumberFormat="1" applyFont="1" applyFill="1" applyBorder="1" applyAlignment="1" applyProtection="1">
      <alignment horizontal="center" vertical="center" wrapText="1"/>
      <protection locked="0"/>
    </xf>
    <xf numFmtId="167" fontId="27" fillId="25" borderId="78" xfId="46" applyNumberFormat="1" applyFont="1" applyFill="1" applyBorder="1" applyAlignment="1" applyProtection="1">
      <alignment horizontal="center" vertical="center" wrapText="1"/>
      <protection locked="0"/>
    </xf>
    <xf numFmtId="0" fontId="27" fillId="25" borderId="18" xfId="46" applyFont="1" applyFill="1" applyBorder="1" applyAlignment="1" applyProtection="1">
      <alignment horizontal="center" vertical="center" wrapText="1"/>
      <protection locked="0"/>
    </xf>
    <xf numFmtId="0" fontId="27" fillId="25" borderId="83" xfId="46" applyFont="1" applyFill="1" applyBorder="1" applyAlignment="1" applyProtection="1">
      <alignment horizontal="center" vertical="center" wrapText="1"/>
      <protection locked="0"/>
    </xf>
    <xf numFmtId="0" fontId="27" fillId="24" borderId="50" xfId="46" applyFont="1" applyFill="1" applyBorder="1" applyAlignment="1" applyProtection="1">
      <alignment horizontal="center" vertical="center" wrapText="1"/>
      <protection locked="0"/>
    </xf>
    <xf numFmtId="167" fontId="30" fillId="31" borderId="26" xfId="46" applyNumberFormat="1" applyFont="1" applyFill="1" applyBorder="1" applyAlignment="1" applyProtection="1">
      <alignment horizontal="center" vertical="center" wrapText="1"/>
      <protection locked="0"/>
    </xf>
    <xf numFmtId="0" fontId="27" fillId="24" borderId="23" xfId="46" applyFont="1" applyFill="1" applyBorder="1" applyAlignment="1" applyProtection="1">
      <alignment horizontal="center" vertical="center" wrapText="1"/>
      <protection locked="0"/>
    </xf>
    <xf numFmtId="167" fontId="27" fillId="34" borderId="41" xfId="46" applyNumberFormat="1" applyFont="1" applyFill="1" applyBorder="1" applyAlignment="1" applyProtection="1">
      <alignment horizontal="center" vertical="center" wrapText="1"/>
      <protection locked="0"/>
    </xf>
    <xf numFmtId="167" fontId="27" fillId="34" borderId="42" xfId="46" applyNumberFormat="1" applyFont="1" applyFill="1" applyBorder="1" applyAlignment="1" applyProtection="1">
      <alignment horizontal="center" vertical="center" wrapText="1"/>
      <protection locked="0"/>
    </xf>
    <xf numFmtId="167" fontId="27" fillId="34" borderId="43" xfId="46" applyNumberFormat="1" applyFont="1" applyFill="1" applyBorder="1" applyAlignment="1" applyProtection="1">
      <alignment horizontal="center" vertical="center" wrapText="1"/>
      <protection locked="0"/>
    </xf>
    <xf numFmtId="49" fontId="27" fillId="31" borderId="14" xfId="46" applyNumberFormat="1" applyFont="1" applyFill="1" applyBorder="1" applyAlignment="1">
      <alignment vertical="center" wrapText="1"/>
    </xf>
    <xf numFmtId="49" fontId="27" fillId="31" borderId="10" xfId="46" applyNumberFormat="1" applyFont="1" applyFill="1" applyBorder="1" applyAlignment="1">
      <alignment vertical="center" wrapText="1"/>
    </xf>
    <xf numFmtId="167" fontId="30" fillId="31" borderId="26" xfId="46" applyNumberFormat="1" applyFont="1" applyFill="1" applyBorder="1" applyAlignment="1">
      <alignment horizontal="center" vertical="center" wrapText="1"/>
    </xf>
    <xf numFmtId="167" fontId="28" fillId="0" borderId="14" xfId="46" applyNumberFormat="1" applyFont="1" applyBorder="1" applyAlignment="1">
      <alignment horizontal="center" vertical="center" wrapText="1"/>
    </xf>
    <xf numFmtId="167" fontId="28" fillId="0" borderId="17" xfId="46" applyNumberFormat="1" applyFont="1" applyBorder="1" applyAlignment="1">
      <alignment horizontal="center" vertical="center" wrapText="1"/>
    </xf>
    <xf numFmtId="167" fontId="27" fillId="31" borderId="17" xfId="46" applyNumberFormat="1" applyFont="1" applyFill="1" applyBorder="1" applyAlignment="1">
      <alignment horizontal="center" vertical="center" wrapText="1"/>
    </xf>
    <xf numFmtId="167" fontId="28" fillId="31" borderId="55" xfId="46" applyNumberFormat="1" applyFont="1" applyFill="1" applyBorder="1" applyAlignment="1">
      <alignment horizontal="center" vertical="center" wrapText="1"/>
    </xf>
    <xf numFmtId="167" fontId="28" fillId="31" borderId="74" xfId="46" applyNumberFormat="1" applyFont="1" applyFill="1" applyBorder="1" applyAlignment="1">
      <alignment horizontal="center" vertical="center" wrapText="1"/>
    </xf>
    <xf numFmtId="167" fontId="30" fillId="31" borderId="71" xfId="46" applyNumberFormat="1" applyFont="1" applyFill="1" applyBorder="1" applyAlignment="1">
      <alignment horizontal="center" vertical="center" wrapText="1"/>
    </xf>
    <xf numFmtId="167" fontId="27" fillId="31" borderId="74" xfId="46" applyNumberFormat="1" applyFont="1" applyFill="1" applyBorder="1" applyAlignment="1">
      <alignment horizontal="center" vertical="center" wrapText="1"/>
    </xf>
    <xf numFmtId="0" fontId="25" fillId="33" borderId="70" xfId="46" applyFont="1" applyFill="1" applyBorder="1" applyAlignment="1">
      <alignment horizontal="center" vertical="center"/>
    </xf>
    <xf numFmtId="167" fontId="27" fillId="31" borderId="72" xfId="46" applyNumberFormat="1" applyFont="1" applyFill="1" applyBorder="1" applyAlignment="1">
      <alignment horizontal="center" vertical="center" wrapText="1"/>
    </xf>
    <xf numFmtId="167" fontId="27" fillId="31" borderId="62" xfId="46" applyNumberFormat="1" applyFont="1" applyFill="1" applyBorder="1" applyAlignment="1">
      <alignment horizontal="center" vertical="center" wrapText="1"/>
    </xf>
    <xf numFmtId="0" fontId="25" fillId="0" borderId="13" xfId="46" applyFont="1" applyBorder="1" applyAlignment="1">
      <alignment horizontal="center" vertical="center" wrapText="1"/>
    </xf>
    <xf numFmtId="167" fontId="30" fillId="26" borderId="31" xfId="46" applyNumberFormat="1" applyFont="1" applyFill="1" applyBorder="1" applyAlignment="1">
      <alignment horizontal="center" vertical="center" wrapText="1"/>
    </xf>
    <xf numFmtId="167" fontId="30" fillId="26" borderId="13" xfId="46" applyNumberFormat="1" applyFont="1" applyFill="1" applyBorder="1" applyAlignment="1">
      <alignment horizontal="center" vertical="center" wrapText="1"/>
    </xf>
    <xf numFmtId="167" fontId="30" fillId="26" borderId="26" xfId="46" applyNumberFormat="1" applyFont="1" applyFill="1" applyBorder="1" applyAlignment="1">
      <alignment horizontal="center" vertical="center" wrapText="1"/>
    </xf>
    <xf numFmtId="167" fontId="26" fillId="27" borderId="49" xfId="46" applyNumberFormat="1" applyFont="1" applyFill="1" applyBorder="1" applyAlignment="1" applyProtection="1">
      <alignment horizontal="center" vertical="center" wrapText="1"/>
      <protection locked="0"/>
    </xf>
    <xf numFmtId="167" fontId="26" fillId="27" borderId="13" xfId="46" applyNumberFormat="1" applyFont="1" applyFill="1" applyBorder="1" applyAlignment="1" applyProtection="1">
      <alignment horizontal="center" vertical="center" wrapText="1"/>
      <protection locked="0"/>
    </xf>
    <xf numFmtId="167" fontId="26" fillId="27" borderId="44" xfId="46" applyNumberFormat="1" applyFont="1" applyFill="1" applyBorder="1" applyAlignment="1" applyProtection="1">
      <alignment horizontal="center" vertical="center" wrapText="1"/>
      <protection locked="0"/>
    </xf>
    <xf numFmtId="167" fontId="26" fillId="27" borderId="41" xfId="46" applyNumberFormat="1" applyFont="1" applyFill="1" applyBorder="1" applyAlignment="1" applyProtection="1">
      <alignment horizontal="center" vertical="center" wrapText="1"/>
      <protection locked="0"/>
    </xf>
    <xf numFmtId="167" fontId="26" fillId="27" borderId="43" xfId="46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46" applyNumberFormat="1"/>
    <xf numFmtId="167" fontId="26" fillId="0" borderId="25" xfId="46" applyNumberFormat="1" applyFont="1" applyBorder="1" applyAlignment="1" applyProtection="1">
      <alignment horizontal="center" vertical="center" wrapText="1"/>
      <protection locked="0"/>
    </xf>
    <xf numFmtId="167" fontId="26" fillId="0" borderId="12" xfId="46" applyNumberFormat="1" applyFont="1" applyBorder="1" applyAlignment="1" applyProtection="1">
      <alignment horizontal="center" vertical="center" wrapText="1"/>
      <protection locked="0"/>
    </xf>
    <xf numFmtId="167" fontId="26" fillId="0" borderId="11" xfId="46" applyNumberFormat="1" applyFont="1" applyBorder="1" applyAlignment="1" applyProtection="1">
      <alignment horizontal="center" vertical="center" wrapText="1"/>
      <protection locked="0"/>
    </xf>
    <xf numFmtId="167" fontId="26" fillId="0" borderId="14" xfId="46" applyNumberFormat="1" applyFont="1" applyBorder="1" applyAlignment="1" applyProtection="1">
      <alignment horizontal="center" vertical="center" wrapText="1"/>
      <protection locked="0"/>
    </xf>
    <xf numFmtId="167" fontId="26" fillId="0" borderId="15" xfId="46" applyNumberFormat="1" applyFont="1" applyBorder="1" applyAlignment="1" applyProtection="1">
      <alignment horizontal="center" vertical="center" wrapText="1"/>
      <protection locked="0"/>
    </xf>
    <xf numFmtId="167" fontId="26" fillId="0" borderId="16" xfId="46" applyNumberFormat="1" applyFont="1" applyBorder="1" applyAlignment="1" applyProtection="1">
      <alignment horizontal="center" vertical="center" wrapText="1"/>
      <protection locked="0"/>
    </xf>
    <xf numFmtId="167" fontId="26" fillId="0" borderId="55" xfId="46" applyNumberFormat="1" applyFont="1" applyBorder="1" applyAlignment="1" applyProtection="1">
      <alignment horizontal="center" vertical="center" wrapText="1"/>
      <protection locked="0"/>
    </xf>
    <xf numFmtId="167" fontId="26" fillId="0" borderId="41" xfId="46" applyNumberFormat="1" applyFont="1" applyBorder="1" applyAlignment="1" applyProtection="1">
      <alignment horizontal="center" vertical="center" wrapText="1"/>
      <protection locked="0"/>
    </xf>
    <xf numFmtId="167" fontId="26" fillId="0" borderId="74" xfId="46" applyNumberFormat="1" applyFont="1" applyBorder="1" applyAlignment="1" applyProtection="1">
      <alignment horizontal="center" vertical="center" wrapText="1"/>
      <protection locked="0"/>
    </xf>
    <xf numFmtId="167" fontId="26" fillId="0" borderId="71" xfId="46" applyNumberFormat="1" applyFont="1" applyBorder="1" applyAlignment="1" applyProtection="1">
      <alignment horizontal="center" vertical="center" wrapText="1"/>
      <protection locked="0"/>
    </xf>
    <xf numFmtId="3" fontId="27" fillId="0" borderId="0" xfId="46" applyNumberFormat="1" applyFont="1"/>
    <xf numFmtId="3" fontId="27" fillId="0" borderId="24" xfId="46" applyNumberFormat="1" applyFont="1" applyBorder="1" applyAlignment="1">
      <alignment horizontal="center" vertical="center" textRotation="90"/>
    </xf>
    <xf numFmtId="3" fontId="27" fillId="0" borderId="24" xfId="46" applyNumberFormat="1" applyFont="1" applyBorder="1" applyAlignment="1">
      <alignment horizontal="center" vertical="center" textRotation="90" wrapText="1"/>
    </xf>
    <xf numFmtId="0" fontId="27" fillId="24" borderId="26" xfId="46" applyFont="1" applyFill="1" applyBorder="1" applyAlignment="1">
      <alignment horizontal="center" vertical="center" wrapText="1"/>
    </xf>
    <xf numFmtId="0" fontId="26" fillId="26" borderId="14" xfId="46" applyFont="1" applyFill="1" applyBorder="1" applyAlignment="1">
      <alignment vertical="center" wrapText="1"/>
    </xf>
    <xf numFmtId="167" fontId="27" fillId="55" borderId="25" xfId="46" applyNumberFormat="1" applyFont="1" applyFill="1" applyBorder="1" applyAlignment="1">
      <alignment horizontal="center" vertical="center"/>
    </xf>
    <xf numFmtId="167" fontId="27" fillId="26" borderId="26" xfId="46" applyNumberFormat="1" applyFont="1" applyFill="1" applyBorder="1" applyAlignment="1">
      <alignment horizontal="center" vertical="center"/>
    </xf>
    <xf numFmtId="0" fontId="27" fillId="26" borderId="14" xfId="46" applyFont="1" applyFill="1" applyBorder="1" applyAlignment="1">
      <alignment vertical="center" wrapText="1"/>
    </xf>
    <xf numFmtId="167" fontId="27" fillId="55" borderId="11" xfId="46" applyNumberFormat="1" applyFont="1" applyFill="1" applyBorder="1" applyAlignment="1">
      <alignment horizontal="center" vertical="center"/>
    </xf>
    <xf numFmtId="167" fontId="27" fillId="26" borderId="28" xfId="46" applyNumberFormat="1" applyFont="1" applyFill="1" applyBorder="1" applyAlignment="1">
      <alignment horizontal="center" vertical="center"/>
    </xf>
    <xf numFmtId="167" fontId="27" fillId="55" borderId="48" xfId="46" applyNumberFormat="1" applyFont="1" applyFill="1" applyBorder="1" applyAlignment="1">
      <alignment horizontal="center" vertical="center"/>
    </xf>
    <xf numFmtId="167" fontId="27" fillId="31" borderId="29" xfId="46" applyNumberFormat="1" applyFont="1" applyFill="1" applyBorder="1" applyAlignment="1">
      <alignment horizontal="center" vertical="center"/>
    </xf>
    <xf numFmtId="167" fontId="27" fillId="31" borderId="34" xfId="46" applyNumberFormat="1" applyFont="1" applyFill="1" applyBorder="1" applyAlignment="1">
      <alignment horizontal="center" vertical="center"/>
    </xf>
    <xf numFmtId="167" fontId="27" fillId="26" borderId="34" xfId="46" applyNumberFormat="1" applyFont="1" applyFill="1" applyBorder="1" applyAlignment="1">
      <alignment horizontal="center" vertical="center"/>
    </xf>
    <xf numFmtId="167" fontId="27" fillId="32" borderId="59" xfId="46" applyNumberFormat="1" applyFont="1" applyFill="1" applyBorder="1" applyAlignment="1">
      <alignment horizontal="center" vertical="center"/>
    </xf>
    <xf numFmtId="0" fontId="48" fillId="0" borderId="0" xfId="46" applyFont="1"/>
    <xf numFmtId="167" fontId="27" fillId="55" borderId="16" xfId="46" applyNumberFormat="1" applyFont="1" applyFill="1" applyBorder="1" applyAlignment="1">
      <alignment horizontal="center" vertical="center"/>
    </xf>
    <xf numFmtId="167" fontId="27" fillId="73" borderId="14" xfId="46" applyNumberFormat="1" applyFont="1" applyFill="1" applyBorder="1" applyAlignment="1">
      <alignment horizontal="center" vertical="center"/>
    </xf>
    <xf numFmtId="0" fontId="36" fillId="26" borderId="30" xfId="46" applyFont="1" applyFill="1" applyBorder="1" applyAlignment="1">
      <alignment horizontal="center" vertical="center"/>
    </xf>
    <xf numFmtId="0" fontId="36" fillId="26" borderId="46" xfId="46" applyFont="1" applyFill="1" applyBorder="1" applyAlignment="1">
      <alignment horizontal="center" vertical="center"/>
    </xf>
    <xf numFmtId="0" fontId="36" fillId="26" borderId="69" xfId="46" applyFont="1" applyFill="1" applyBorder="1" applyAlignment="1">
      <alignment horizontal="center" vertical="center"/>
    </xf>
    <xf numFmtId="0" fontId="36" fillId="31" borderId="14" xfId="46" applyFont="1" applyFill="1" applyBorder="1" applyAlignment="1">
      <alignment horizontal="center" vertical="center" wrapText="1"/>
    </xf>
    <xf numFmtId="0" fontId="27" fillId="0" borderId="69" xfId="46" applyFont="1" applyBorder="1" applyAlignment="1">
      <alignment horizontal="center" vertical="center" wrapText="1"/>
    </xf>
    <xf numFmtId="0" fontId="27" fillId="26" borderId="10" xfId="46" applyFont="1" applyFill="1" applyBorder="1" applyAlignment="1">
      <alignment vertical="center" wrapText="1"/>
    </xf>
    <xf numFmtId="0" fontId="36" fillId="26" borderId="10" xfId="46" applyFont="1" applyFill="1" applyBorder="1" applyAlignment="1">
      <alignment vertical="center" wrapText="1"/>
    </xf>
    <xf numFmtId="167" fontId="27" fillId="32" borderId="58" xfId="46" applyNumberFormat="1" applyFont="1" applyFill="1" applyBorder="1" applyAlignment="1">
      <alignment horizontal="center" vertical="center"/>
    </xf>
    <xf numFmtId="167" fontId="27" fillId="32" borderId="62" xfId="46" applyNumberFormat="1" applyFont="1" applyFill="1" applyBorder="1" applyAlignment="1">
      <alignment horizontal="center" vertical="center"/>
    </xf>
    <xf numFmtId="167" fontId="27" fillId="32" borderId="72" xfId="46" applyNumberFormat="1" applyFont="1" applyFill="1" applyBorder="1" applyAlignment="1">
      <alignment horizontal="center" vertical="center"/>
    </xf>
    <xf numFmtId="0" fontId="36" fillId="26" borderId="32" xfId="46" applyFont="1" applyFill="1" applyBorder="1" applyAlignment="1">
      <alignment horizontal="center" vertical="center" wrapText="1"/>
    </xf>
    <xf numFmtId="0" fontId="36" fillId="26" borderId="36" xfId="46" applyFont="1" applyFill="1" applyBorder="1" applyAlignment="1">
      <alignment horizontal="center" vertical="center" wrapText="1"/>
    </xf>
    <xf numFmtId="167" fontId="27" fillId="26" borderId="14" xfId="46" applyNumberFormat="1" applyFont="1" applyFill="1" applyBorder="1" applyAlignment="1">
      <alignment horizontal="center" vertical="center"/>
    </xf>
    <xf numFmtId="0" fontId="36" fillId="26" borderId="19" xfId="46" applyFont="1" applyFill="1" applyBorder="1" applyAlignment="1">
      <alignment horizontal="center" vertical="center" wrapText="1"/>
    </xf>
    <xf numFmtId="167" fontId="27" fillId="55" borderId="58" xfId="46" applyNumberFormat="1" applyFont="1" applyFill="1" applyBorder="1" applyAlignment="1">
      <alignment horizontal="center" vertical="center"/>
    </xf>
    <xf numFmtId="167" fontId="27" fillId="26" borderId="31" xfId="46" applyNumberFormat="1" applyFont="1" applyFill="1" applyBorder="1" applyAlignment="1">
      <alignment horizontal="center" vertical="center"/>
    </xf>
    <xf numFmtId="167" fontId="27" fillId="26" borderId="19" xfId="46" applyNumberFormat="1" applyFont="1" applyFill="1" applyBorder="1" applyAlignment="1">
      <alignment horizontal="center" vertical="center"/>
    </xf>
    <xf numFmtId="0" fontId="36" fillId="26" borderId="86" xfId="46" applyFont="1" applyFill="1" applyBorder="1" applyAlignment="1">
      <alignment horizontal="center" vertical="center" wrapText="1"/>
    </xf>
    <xf numFmtId="167" fontId="27" fillId="26" borderId="17" xfId="46" applyNumberFormat="1" applyFont="1" applyFill="1" applyBorder="1" applyAlignment="1">
      <alignment horizontal="center" vertical="center"/>
    </xf>
    <xf numFmtId="167" fontId="27" fillId="55" borderId="41" xfId="46" applyNumberFormat="1" applyFont="1" applyFill="1" applyBorder="1" applyAlignment="1">
      <alignment horizontal="center" vertical="center"/>
    </xf>
    <xf numFmtId="167" fontId="27" fillId="55" borderId="46" xfId="46" applyNumberFormat="1" applyFont="1" applyFill="1" applyBorder="1" applyAlignment="1">
      <alignment horizontal="center" vertical="center"/>
    </xf>
    <xf numFmtId="3" fontId="25" fillId="0" borderId="0" xfId="46" applyNumberFormat="1" applyFont="1"/>
    <xf numFmtId="167" fontId="27" fillId="31" borderId="70" xfId="46" applyNumberFormat="1" applyFont="1" applyFill="1" applyBorder="1" applyAlignment="1">
      <alignment horizontal="center" vertical="center"/>
    </xf>
    <xf numFmtId="167" fontId="27" fillId="31" borderId="11" xfId="46" applyNumberFormat="1" applyFont="1" applyFill="1" applyBorder="1" applyAlignment="1">
      <alignment horizontal="center" vertical="center"/>
    </xf>
    <xf numFmtId="167" fontId="27" fillId="26" borderId="23" xfId="46" applyNumberFormat="1" applyFont="1" applyFill="1" applyBorder="1" applyAlignment="1">
      <alignment horizontal="center" vertical="center"/>
    </xf>
    <xf numFmtId="0" fontId="27" fillId="0" borderId="37" xfId="46" applyFont="1" applyBorder="1" applyAlignment="1">
      <alignment horizontal="center" vertical="center"/>
    </xf>
    <xf numFmtId="0" fontId="36" fillId="0" borderId="71" xfId="46" applyFont="1" applyBorder="1" applyAlignment="1">
      <alignment horizontal="center" vertical="center"/>
    </xf>
    <xf numFmtId="0" fontId="27" fillId="0" borderId="75" xfId="46" applyFont="1" applyBorder="1" applyAlignment="1">
      <alignment horizontal="center" vertical="center"/>
    </xf>
    <xf numFmtId="0" fontId="27" fillId="0" borderId="29" xfId="46" applyFont="1" applyBorder="1" applyAlignment="1">
      <alignment horizontal="center" vertical="center"/>
    </xf>
    <xf numFmtId="0" fontId="36" fillId="0" borderId="34" xfId="46" applyFont="1" applyBorder="1" applyAlignment="1">
      <alignment horizontal="center" vertical="center"/>
    </xf>
    <xf numFmtId="0" fontId="27" fillId="31" borderId="14" xfId="46" applyFont="1" applyFill="1" applyBorder="1" applyAlignment="1">
      <alignment vertical="center" wrapText="1"/>
    </xf>
    <xf numFmtId="49" fontId="36" fillId="31" borderId="17" xfId="46" applyNumberFormat="1" applyFont="1" applyFill="1" applyBorder="1" applyAlignment="1">
      <alignment vertical="center"/>
    </xf>
    <xf numFmtId="167" fontId="27" fillId="28" borderId="70" xfId="46" applyNumberFormat="1" applyFont="1" applyFill="1" applyBorder="1" applyAlignment="1">
      <alignment horizontal="center" vertical="center"/>
    </xf>
    <xf numFmtId="0" fontId="36" fillId="24" borderId="19" xfId="46" applyFont="1" applyFill="1" applyBorder="1" applyAlignment="1">
      <alignment horizontal="center" vertical="center" wrapText="1"/>
    </xf>
    <xf numFmtId="167" fontId="26" fillId="34" borderId="41" xfId="46" applyNumberFormat="1" applyFont="1" applyFill="1" applyBorder="1" applyAlignment="1">
      <alignment horizontal="center" vertical="center"/>
    </xf>
    <xf numFmtId="167" fontId="26" fillId="34" borderId="42" xfId="46" applyNumberFormat="1" applyFont="1" applyFill="1" applyBorder="1" applyAlignment="1">
      <alignment horizontal="center" vertical="center"/>
    </xf>
    <xf numFmtId="0" fontId="36" fillId="26" borderId="20" xfId="46" applyFont="1" applyFill="1" applyBorder="1" applyAlignment="1">
      <alignment horizontal="center" vertical="center"/>
    </xf>
    <xf numFmtId="0" fontId="36" fillId="26" borderId="19" xfId="46" applyFont="1" applyFill="1" applyBorder="1" applyAlignment="1">
      <alignment horizontal="center" vertical="center"/>
    </xf>
    <xf numFmtId="0" fontId="36" fillId="26" borderId="34" xfId="46" applyFont="1" applyFill="1" applyBorder="1" applyAlignment="1">
      <alignment horizontal="center" vertical="center"/>
    </xf>
    <xf numFmtId="0" fontId="36" fillId="26" borderId="76" xfId="46" applyFont="1" applyFill="1" applyBorder="1" applyAlignment="1">
      <alignment horizontal="center" vertical="center"/>
    </xf>
    <xf numFmtId="0" fontId="36" fillId="26" borderId="86" xfId="46" applyFont="1" applyFill="1" applyBorder="1" applyAlignment="1">
      <alignment horizontal="center" vertical="center"/>
    </xf>
    <xf numFmtId="167" fontId="27" fillId="55" borderId="30" xfId="46" applyNumberFormat="1" applyFont="1" applyFill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 shrinkToFit="1"/>
    </xf>
    <xf numFmtId="167" fontId="27" fillId="55" borderId="69" xfId="46" applyNumberFormat="1" applyFont="1" applyFill="1" applyBorder="1" applyAlignment="1">
      <alignment horizontal="center" vertical="center"/>
    </xf>
    <xf numFmtId="167" fontId="27" fillId="55" borderId="15" xfId="46" applyNumberFormat="1" applyFont="1" applyFill="1" applyBorder="1" applyAlignment="1">
      <alignment horizontal="center" vertical="center"/>
    </xf>
    <xf numFmtId="167" fontId="27" fillId="26" borderId="20" xfId="46" applyNumberFormat="1" applyFont="1" applyFill="1" applyBorder="1" applyAlignment="1">
      <alignment horizontal="center" vertical="center"/>
    </xf>
    <xf numFmtId="167" fontId="27" fillId="32" borderId="48" xfId="46" applyNumberFormat="1" applyFont="1" applyFill="1" applyBorder="1" applyAlignment="1">
      <alignment horizontal="center" vertical="center"/>
    </xf>
    <xf numFmtId="0" fontId="36" fillId="26" borderId="33" xfId="46" applyFont="1" applyFill="1" applyBorder="1" applyAlignment="1">
      <alignment horizontal="center" vertical="center"/>
    </xf>
    <xf numFmtId="167" fontId="27" fillId="55" borderId="72" xfId="46" applyNumberFormat="1" applyFont="1" applyFill="1" applyBorder="1" applyAlignment="1">
      <alignment horizontal="center" vertical="center"/>
    </xf>
    <xf numFmtId="0" fontId="36" fillId="26" borderId="47" xfId="46" applyFont="1" applyFill="1" applyBorder="1" applyAlignment="1">
      <alignment horizontal="center" vertical="center"/>
    </xf>
    <xf numFmtId="167" fontId="27" fillId="31" borderId="47" xfId="46" applyNumberFormat="1" applyFont="1" applyFill="1" applyBorder="1" applyAlignment="1">
      <alignment horizontal="center" vertical="center"/>
    </xf>
    <xf numFmtId="167" fontId="27" fillId="55" borderId="16" xfId="46" applyNumberFormat="1" applyFont="1" applyFill="1" applyBorder="1" applyAlignment="1">
      <alignment horizontal="center" vertical="center" wrapText="1"/>
    </xf>
    <xf numFmtId="167" fontId="28" fillId="55" borderId="11" xfId="46" applyNumberFormat="1" applyFont="1" applyFill="1" applyBorder="1" applyAlignment="1">
      <alignment horizontal="center" vertical="center"/>
    </xf>
    <xf numFmtId="167" fontId="27" fillId="55" borderId="27" xfId="46" applyNumberFormat="1" applyFont="1" applyFill="1" applyBorder="1" applyAlignment="1">
      <alignment horizontal="center" vertical="center"/>
    </xf>
    <xf numFmtId="167" fontId="27" fillId="55" borderId="75" xfId="46" applyNumberFormat="1" applyFont="1" applyFill="1" applyBorder="1" applyAlignment="1">
      <alignment horizontal="center" vertical="center"/>
    </xf>
    <xf numFmtId="0" fontId="36" fillId="0" borderId="19" xfId="46" applyFont="1" applyBorder="1" applyAlignment="1">
      <alignment horizontal="center" vertical="center" wrapText="1"/>
    </xf>
    <xf numFmtId="167" fontId="27" fillId="31" borderId="25" xfId="46" applyNumberFormat="1" applyFont="1" applyFill="1" applyBorder="1" applyAlignment="1">
      <alignment horizontal="center" vertical="center"/>
    </xf>
    <xf numFmtId="0" fontId="27" fillId="26" borderId="14" xfId="46" applyFont="1" applyFill="1" applyBorder="1" applyAlignment="1">
      <alignment horizontal="center" vertical="center" shrinkToFit="1"/>
    </xf>
    <xf numFmtId="0" fontId="27" fillId="0" borderId="30" xfId="46" applyFont="1" applyBorder="1" applyAlignment="1">
      <alignment horizontal="center" vertical="center" shrinkToFit="1"/>
    </xf>
    <xf numFmtId="0" fontId="27" fillId="0" borderId="46" xfId="46" applyFont="1" applyBorder="1" applyAlignment="1">
      <alignment horizontal="center" vertical="center" shrinkToFit="1"/>
    </xf>
    <xf numFmtId="0" fontId="36" fillId="0" borderId="20" xfId="46" applyFont="1" applyBorder="1" applyAlignment="1">
      <alignment horizontal="center" vertical="center" wrapText="1"/>
    </xf>
    <xf numFmtId="167" fontId="27" fillId="55" borderId="37" xfId="46" applyNumberFormat="1" applyFont="1" applyFill="1" applyBorder="1" applyAlignment="1">
      <alignment horizontal="center" vertical="center"/>
    </xf>
    <xf numFmtId="0" fontId="36" fillId="0" borderId="59" xfId="46" applyFont="1" applyBorder="1" applyAlignment="1">
      <alignment horizontal="right" vertical="center" wrapText="1"/>
    </xf>
    <xf numFmtId="0" fontId="36" fillId="0" borderId="24" xfId="46" applyFont="1" applyBorder="1" applyAlignment="1">
      <alignment horizontal="right" vertical="center" wrapText="1"/>
    </xf>
    <xf numFmtId="167" fontId="27" fillId="34" borderId="41" xfId="46" applyNumberFormat="1" applyFont="1" applyFill="1" applyBorder="1" applyAlignment="1">
      <alignment horizontal="center" vertical="center"/>
    </xf>
    <xf numFmtId="167" fontId="27" fillId="34" borderId="42" xfId="46" applyNumberFormat="1" applyFont="1" applyFill="1" applyBorder="1" applyAlignment="1">
      <alignment horizontal="center" vertical="center"/>
    </xf>
    <xf numFmtId="167" fontId="27" fillId="34" borderId="54" xfId="46" applyNumberFormat="1" applyFont="1" applyFill="1" applyBorder="1" applyAlignment="1">
      <alignment horizontal="center" vertical="center"/>
    </xf>
    <xf numFmtId="0" fontId="36" fillId="0" borderId="34" xfId="46" applyFont="1" applyBorder="1" applyAlignment="1">
      <alignment horizontal="center" vertical="center" wrapText="1"/>
    </xf>
    <xf numFmtId="167" fontId="27" fillId="34" borderId="11" xfId="46" applyNumberFormat="1" applyFont="1" applyFill="1" applyBorder="1" applyAlignment="1">
      <alignment horizontal="center" vertical="center"/>
    </xf>
    <xf numFmtId="167" fontId="27" fillId="34" borderId="17" xfId="46" applyNumberFormat="1" applyFont="1" applyFill="1" applyBorder="1" applyAlignment="1">
      <alignment horizontal="center" vertical="center"/>
    </xf>
    <xf numFmtId="167" fontId="27" fillId="34" borderId="14" xfId="46" applyNumberFormat="1" applyFont="1" applyFill="1" applyBorder="1" applyAlignment="1">
      <alignment horizontal="center" vertical="center"/>
    </xf>
    <xf numFmtId="167" fontId="27" fillId="34" borderId="47" xfId="46" applyNumberFormat="1" applyFont="1" applyFill="1" applyBorder="1" applyAlignment="1">
      <alignment horizontal="center" vertical="center"/>
    </xf>
    <xf numFmtId="167" fontId="27" fillId="26" borderId="59" xfId="46" applyNumberFormat="1" applyFont="1" applyFill="1" applyBorder="1" applyAlignment="1">
      <alignment horizontal="center" vertical="center"/>
    </xf>
    <xf numFmtId="0" fontId="36" fillId="25" borderId="82" xfId="46" applyFont="1" applyFill="1" applyBorder="1" applyAlignment="1">
      <alignment horizontal="center" vertical="center"/>
    </xf>
    <xf numFmtId="0" fontId="36" fillId="24" borderId="71" xfId="46" applyFont="1" applyFill="1" applyBorder="1" applyAlignment="1">
      <alignment horizontal="center" vertical="center"/>
    </xf>
    <xf numFmtId="167" fontId="27" fillId="34" borderId="56" xfId="46" applyNumberFormat="1" applyFont="1" applyFill="1" applyBorder="1" applyAlignment="1">
      <alignment horizontal="center" vertical="center"/>
    </xf>
    <xf numFmtId="167" fontId="27" fillId="34" borderId="43" xfId="46" applyNumberFormat="1" applyFont="1" applyFill="1" applyBorder="1" applyAlignment="1">
      <alignment horizontal="center" vertical="center"/>
    </xf>
    <xf numFmtId="0" fontId="36" fillId="25" borderId="65" xfId="46" applyFont="1" applyFill="1" applyBorder="1" applyAlignment="1">
      <alignment horizontal="center" vertical="center"/>
    </xf>
    <xf numFmtId="167" fontId="27" fillId="39" borderId="42" xfId="46" applyNumberFormat="1" applyFont="1" applyFill="1" applyBorder="1" applyAlignment="1">
      <alignment horizontal="center" vertical="center"/>
    </xf>
    <xf numFmtId="167" fontId="27" fillId="39" borderId="41" xfId="46" applyNumberFormat="1" applyFont="1" applyFill="1" applyBorder="1" applyAlignment="1">
      <alignment horizontal="center" vertical="center"/>
    </xf>
    <xf numFmtId="167" fontId="27" fillId="39" borderId="43" xfId="46" applyNumberFormat="1" applyFont="1" applyFill="1" applyBorder="1" applyAlignment="1">
      <alignment horizontal="center" vertical="center"/>
    </xf>
    <xf numFmtId="0" fontId="27" fillId="25" borderId="82" xfId="46" applyFont="1" applyFill="1" applyBorder="1" applyAlignment="1">
      <alignment horizontal="center" vertical="center"/>
    </xf>
    <xf numFmtId="0" fontId="27" fillId="25" borderId="83" xfId="46" applyFont="1" applyFill="1" applyBorder="1" applyAlignment="1">
      <alignment horizontal="center" vertical="center"/>
    </xf>
    <xf numFmtId="0" fontId="27" fillId="24" borderId="26" xfId="46" applyFont="1" applyFill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6" fillId="0" borderId="51" xfId="46" applyFont="1" applyBorder="1" applyAlignment="1">
      <alignment horizontal="center" vertical="center"/>
    </xf>
    <xf numFmtId="0" fontId="27" fillId="26" borderId="37" xfId="46" applyFont="1" applyFill="1" applyBorder="1" applyAlignment="1">
      <alignment horizontal="center" vertical="center"/>
    </xf>
    <xf numFmtId="0" fontId="27" fillId="26" borderId="55" xfId="46" applyFont="1" applyFill="1" applyBorder="1" applyAlignment="1">
      <alignment horizontal="center" vertical="center"/>
    </xf>
    <xf numFmtId="167" fontId="27" fillId="55" borderId="83" xfId="46" applyNumberFormat="1" applyFont="1" applyFill="1" applyBorder="1" applyAlignment="1">
      <alignment horizontal="center" vertical="center"/>
    </xf>
    <xf numFmtId="0" fontId="27" fillId="26" borderId="59" xfId="46" applyFont="1" applyFill="1" applyBorder="1" applyAlignment="1">
      <alignment horizontal="center" vertical="center"/>
    </xf>
    <xf numFmtId="167" fontId="27" fillId="34" borderId="39" xfId="46" applyNumberFormat="1" applyFont="1" applyFill="1" applyBorder="1" applyAlignment="1">
      <alignment horizontal="center" vertical="center"/>
    </xf>
    <xf numFmtId="167" fontId="27" fillId="34" borderId="38" xfId="46" applyNumberFormat="1" applyFont="1" applyFill="1" applyBorder="1" applyAlignment="1">
      <alignment horizontal="center" vertical="center"/>
    </xf>
    <xf numFmtId="0" fontId="27" fillId="24" borderId="10" xfId="46" applyFont="1" applyFill="1" applyBorder="1" applyAlignment="1">
      <alignment horizontal="center" vertical="center"/>
    </xf>
    <xf numFmtId="167" fontId="27" fillId="32" borderId="49" xfId="46" applyNumberFormat="1" applyFont="1" applyFill="1" applyBorder="1" applyAlignment="1">
      <alignment horizontal="center" vertical="center"/>
    </xf>
    <xf numFmtId="167" fontId="27" fillId="32" borderId="13" xfId="46" applyNumberFormat="1" applyFont="1" applyFill="1" applyBorder="1" applyAlignment="1">
      <alignment horizontal="center" vertical="center"/>
    </xf>
    <xf numFmtId="167" fontId="27" fillId="32" borderId="50" xfId="46" applyNumberFormat="1" applyFont="1" applyFill="1" applyBorder="1" applyAlignment="1">
      <alignment horizontal="center" vertical="center"/>
    </xf>
    <xf numFmtId="167" fontId="28" fillId="55" borderId="25" xfId="46" applyNumberFormat="1" applyFont="1" applyFill="1" applyBorder="1" applyAlignment="1">
      <alignment horizontal="center" vertical="center"/>
    </xf>
    <xf numFmtId="167" fontId="28" fillId="55" borderId="36" xfId="46" applyNumberFormat="1" applyFont="1" applyFill="1" applyBorder="1" applyAlignment="1">
      <alignment horizontal="center" vertical="center"/>
    </xf>
    <xf numFmtId="167" fontId="41" fillId="32" borderId="28" xfId="46" applyNumberFormat="1" applyFont="1" applyFill="1" applyBorder="1" applyAlignment="1">
      <alignment horizontal="center" vertical="center"/>
    </xf>
    <xf numFmtId="167" fontId="41" fillId="31" borderId="24" xfId="46" applyNumberFormat="1" applyFont="1" applyFill="1" applyBorder="1" applyAlignment="1">
      <alignment horizontal="center" vertical="center"/>
    </xf>
    <xf numFmtId="167" fontId="41" fillId="31" borderId="15" xfId="46" applyNumberFormat="1" applyFont="1" applyFill="1" applyBorder="1" applyAlignment="1">
      <alignment horizontal="center" vertical="center"/>
    </xf>
    <xf numFmtId="167" fontId="41" fillId="31" borderId="20" xfId="46" applyNumberFormat="1" applyFont="1" applyFill="1" applyBorder="1" applyAlignment="1">
      <alignment horizontal="center" vertical="center"/>
    </xf>
    <xf numFmtId="167" fontId="28" fillId="55" borderId="48" xfId="46" applyNumberFormat="1" applyFont="1" applyFill="1" applyBorder="1" applyAlignment="1">
      <alignment horizontal="center" vertical="center"/>
    </xf>
    <xf numFmtId="167" fontId="26" fillId="39" borderId="38" xfId="46" applyNumberFormat="1" applyFont="1" applyFill="1" applyBorder="1" applyAlignment="1">
      <alignment horizontal="center" vertical="center"/>
    </xf>
    <xf numFmtId="167" fontId="26" fillId="39" borderId="42" xfId="46" applyNumberFormat="1" applyFont="1" applyFill="1" applyBorder="1" applyAlignment="1">
      <alignment horizontal="center" vertical="center"/>
    </xf>
    <xf numFmtId="167" fontId="26" fillId="39" borderId="43" xfId="46" applyNumberFormat="1" applyFont="1" applyFill="1" applyBorder="1" applyAlignment="1">
      <alignment horizontal="center" vertical="center"/>
    </xf>
    <xf numFmtId="0" fontId="27" fillId="0" borderId="71" xfId="46" applyFont="1" applyBorder="1" applyAlignment="1">
      <alignment horizontal="center" vertical="center"/>
    </xf>
    <xf numFmtId="167" fontId="27" fillId="55" borderId="41" xfId="46" applyNumberFormat="1" applyFont="1" applyFill="1" applyBorder="1" applyAlignment="1">
      <alignment horizontal="center" vertical="center" wrapText="1"/>
    </xf>
    <xf numFmtId="0" fontId="48" fillId="26" borderId="0" xfId="46" applyFont="1" applyFill="1"/>
    <xf numFmtId="167" fontId="27" fillId="28" borderId="50" xfId="46" applyNumberFormat="1" applyFont="1" applyFill="1" applyBorder="1" applyAlignment="1">
      <alignment horizontal="center" vertical="center"/>
    </xf>
    <xf numFmtId="167" fontId="27" fillId="28" borderId="13" xfId="46" applyNumberFormat="1" applyFont="1" applyFill="1" applyBorder="1" applyAlignment="1">
      <alignment horizontal="center" vertical="center"/>
    </xf>
    <xf numFmtId="167" fontId="27" fillId="55" borderId="25" xfId="46" applyNumberFormat="1" applyFont="1" applyFill="1" applyBorder="1" applyAlignment="1">
      <alignment horizontal="center" vertical="center" wrapText="1"/>
    </xf>
    <xf numFmtId="167" fontId="27" fillId="55" borderId="11" xfId="46" applyNumberFormat="1" applyFont="1" applyFill="1" applyBorder="1" applyAlignment="1">
      <alignment horizontal="center" vertical="center" wrapText="1"/>
    </xf>
    <xf numFmtId="167" fontId="27" fillId="31" borderId="78" xfId="46" applyNumberFormat="1" applyFont="1" applyFill="1" applyBorder="1" applyAlignment="1">
      <alignment horizontal="center" vertical="center"/>
    </xf>
    <xf numFmtId="167" fontId="27" fillId="55" borderId="48" xfId="46" applyNumberFormat="1" applyFont="1" applyFill="1" applyBorder="1" applyAlignment="1">
      <alignment horizontal="center" vertical="center" wrapText="1"/>
    </xf>
    <xf numFmtId="0" fontId="36" fillId="0" borderId="39" xfId="46" applyFont="1" applyBorder="1" applyAlignment="1">
      <alignment horizontal="center" vertical="center" wrapText="1"/>
    </xf>
    <xf numFmtId="0" fontId="36" fillId="0" borderId="42" xfId="46" applyFont="1" applyBorder="1" applyAlignment="1">
      <alignment horizontal="center" vertical="center" wrapText="1"/>
    </xf>
    <xf numFmtId="167" fontId="27" fillId="55" borderId="58" xfId="46" applyNumberFormat="1" applyFont="1" applyFill="1" applyBorder="1" applyAlignment="1">
      <alignment horizontal="center" vertical="center" wrapText="1"/>
    </xf>
    <xf numFmtId="0" fontId="36" fillId="31" borderId="42" xfId="46" applyFont="1" applyFill="1" applyBorder="1" applyAlignment="1">
      <alignment horizontal="center" vertical="center" wrapText="1"/>
    </xf>
    <xf numFmtId="167" fontId="27" fillId="31" borderId="48" xfId="46" applyNumberFormat="1" applyFont="1" applyFill="1" applyBorder="1" applyAlignment="1">
      <alignment horizontal="center" vertical="center"/>
    </xf>
    <xf numFmtId="167" fontId="27" fillId="55" borderId="81" xfId="46" applyNumberFormat="1" applyFont="1" applyFill="1" applyBorder="1" applyAlignment="1">
      <alignment horizontal="center" vertical="center"/>
    </xf>
    <xf numFmtId="167" fontId="36" fillId="31" borderId="12" xfId="46" applyNumberFormat="1" applyFont="1" applyFill="1" applyBorder="1" applyAlignment="1">
      <alignment horizontal="center" vertical="center"/>
    </xf>
    <xf numFmtId="167" fontId="36" fillId="31" borderId="59" xfId="46" applyNumberFormat="1" applyFont="1" applyFill="1" applyBorder="1" applyAlignment="1">
      <alignment horizontal="center" vertical="center"/>
    </xf>
    <xf numFmtId="0" fontId="36" fillId="31" borderId="20" xfId="46" applyFont="1" applyFill="1" applyBorder="1" applyAlignment="1">
      <alignment horizontal="center" vertical="center" wrapText="1"/>
    </xf>
    <xf numFmtId="167" fontId="36" fillId="31" borderId="24" xfId="46" applyNumberFormat="1" applyFont="1" applyFill="1" applyBorder="1" applyAlignment="1">
      <alignment horizontal="center" vertical="center"/>
    </xf>
    <xf numFmtId="167" fontId="27" fillId="55" borderId="22" xfId="46" applyNumberFormat="1" applyFont="1" applyFill="1" applyBorder="1" applyAlignment="1">
      <alignment horizontal="center" vertical="center"/>
    </xf>
    <xf numFmtId="0" fontId="36" fillId="24" borderId="19" xfId="46" applyFont="1" applyFill="1" applyBorder="1" applyAlignment="1">
      <alignment horizontal="center" vertical="center"/>
    </xf>
    <xf numFmtId="167" fontId="27" fillId="34" borderId="80" xfId="46" applyNumberFormat="1" applyFont="1" applyFill="1" applyBorder="1" applyAlignment="1">
      <alignment horizontal="center" vertical="center"/>
    </xf>
    <xf numFmtId="167" fontId="27" fillId="34" borderId="29" xfId="46" applyNumberFormat="1" applyFont="1" applyFill="1" applyBorder="1" applyAlignment="1">
      <alignment horizontal="center" vertical="center"/>
    </xf>
    <xf numFmtId="167" fontId="27" fillId="0" borderId="55" xfId="46" applyNumberFormat="1" applyFont="1" applyBorder="1" applyAlignment="1">
      <alignment horizontal="center" vertical="center"/>
    </xf>
    <xf numFmtId="3" fontId="27" fillId="56" borderId="25" xfId="46" applyNumberFormat="1" applyFont="1" applyFill="1" applyBorder="1" applyAlignment="1">
      <alignment horizontal="center" vertical="center" wrapText="1"/>
    </xf>
    <xf numFmtId="3" fontId="27" fillId="56" borderId="27" xfId="46" applyNumberFormat="1" applyFont="1" applyFill="1" applyBorder="1" applyAlignment="1">
      <alignment horizontal="center" vertical="center" wrapText="1"/>
    </xf>
    <xf numFmtId="3" fontId="27" fillId="56" borderId="12" xfId="46" applyNumberFormat="1" applyFont="1" applyFill="1" applyBorder="1" applyAlignment="1">
      <alignment horizontal="left" vertical="center" wrapText="1"/>
    </xf>
    <xf numFmtId="3" fontId="27" fillId="56" borderId="35" xfId="46" applyNumberFormat="1" applyFont="1" applyFill="1" applyBorder="1" applyAlignment="1">
      <alignment horizontal="left" vertical="center" wrapText="1"/>
    </xf>
    <xf numFmtId="3" fontId="27" fillId="56" borderId="49" xfId="46" applyNumberFormat="1" applyFont="1" applyFill="1" applyBorder="1" applyAlignment="1">
      <alignment horizontal="center" vertical="center" wrapText="1"/>
    </xf>
    <xf numFmtId="3" fontId="27" fillId="56" borderId="26" xfId="46" applyNumberFormat="1" applyFont="1" applyFill="1" applyBorder="1" applyAlignment="1">
      <alignment horizontal="left" vertical="center" wrapText="1"/>
    </xf>
    <xf numFmtId="0" fontId="48" fillId="56" borderId="0" xfId="46" applyFont="1" applyFill="1"/>
    <xf numFmtId="3" fontId="27" fillId="56" borderId="11" xfId="46" applyNumberFormat="1" applyFont="1" applyFill="1" applyBorder="1" applyAlignment="1">
      <alignment horizontal="center" vertical="center"/>
    </xf>
    <xf numFmtId="3" fontId="27" fillId="56" borderId="14" xfId="46" applyNumberFormat="1" applyFont="1" applyFill="1" applyBorder="1" applyAlignment="1">
      <alignment horizontal="center" vertical="center"/>
    </xf>
    <xf numFmtId="3" fontId="27" fillId="56" borderId="17" xfId="46" applyNumberFormat="1" applyFont="1" applyFill="1" applyBorder="1" applyAlignment="1">
      <alignment horizontal="center" vertical="center"/>
    </xf>
    <xf numFmtId="3" fontId="27" fillId="56" borderId="11" xfId="46" applyNumberFormat="1" applyFont="1" applyFill="1" applyBorder="1" applyAlignment="1">
      <alignment horizontal="center" vertical="center" wrapText="1"/>
    </xf>
    <xf numFmtId="3" fontId="27" fillId="56" borderId="46" xfId="46" applyNumberFormat="1" applyFont="1" applyFill="1" applyBorder="1" applyAlignment="1">
      <alignment horizontal="center" vertical="center"/>
    </xf>
    <xf numFmtId="3" fontId="27" fillId="56" borderId="28" xfId="46" applyNumberFormat="1" applyFont="1" applyFill="1" applyBorder="1" applyAlignment="1">
      <alignment horizontal="center" vertical="center"/>
    </xf>
    <xf numFmtId="3" fontId="27" fillId="44" borderId="11" xfId="46" applyNumberFormat="1" applyFont="1" applyFill="1" applyBorder="1" applyAlignment="1">
      <alignment horizontal="center" vertical="center" wrapText="1"/>
    </xf>
    <xf numFmtId="3" fontId="27" fillId="44" borderId="14" xfId="46" applyNumberFormat="1" applyFont="1" applyFill="1" applyBorder="1" applyAlignment="1">
      <alignment horizontal="center" vertical="center" wrapText="1"/>
    </xf>
    <xf numFmtId="3" fontId="27" fillId="44" borderId="14" xfId="46" applyNumberFormat="1" applyFont="1" applyFill="1" applyBorder="1" applyAlignment="1">
      <alignment horizontal="left" vertical="center" wrapText="1"/>
    </xf>
    <xf numFmtId="3" fontId="27" fillId="44" borderId="17" xfId="46" applyNumberFormat="1" applyFont="1" applyFill="1" applyBorder="1" applyAlignment="1">
      <alignment horizontal="left" vertical="center" wrapText="1"/>
    </xf>
    <xf numFmtId="3" fontId="27" fillId="26" borderId="16" xfId="46" applyNumberFormat="1" applyFont="1" applyFill="1" applyBorder="1" applyAlignment="1">
      <alignment horizontal="center" vertical="center" wrapText="1"/>
    </xf>
    <xf numFmtId="3" fontId="27" fillId="26" borderId="14" xfId="46" applyNumberFormat="1" applyFont="1" applyFill="1" applyBorder="1" applyAlignment="1">
      <alignment horizontal="center" vertical="center" wrapText="1"/>
    </xf>
    <xf numFmtId="3" fontId="27" fillId="26" borderId="14" xfId="46" applyNumberFormat="1" applyFont="1" applyFill="1" applyBorder="1" applyAlignment="1">
      <alignment horizontal="left" vertical="center" wrapText="1"/>
    </xf>
    <xf numFmtId="3" fontId="27" fillId="26" borderId="28" xfId="46" applyNumberFormat="1" applyFont="1" applyFill="1" applyBorder="1" applyAlignment="1">
      <alignment horizontal="left" vertical="center" wrapText="1"/>
    </xf>
    <xf numFmtId="3" fontId="27" fillId="26" borderId="11" xfId="46" applyNumberFormat="1" applyFont="1" applyFill="1" applyBorder="1" applyAlignment="1">
      <alignment horizontal="center" vertical="center" wrapText="1"/>
    </xf>
    <xf numFmtId="3" fontId="27" fillId="26" borderId="17" xfId="46" applyNumberFormat="1" applyFont="1" applyFill="1" applyBorder="1" applyAlignment="1">
      <alignment horizontal="left" vertical="center" wrapText="1"/>
    </xf>
    <xf numFmtId="3" fontId="27" fillId="0" borderId="48" xfId="46" applyNumberFormat="1" applyFont="1" applyBorder="1" applyAlignment="1">
      <alignment horizontal="center" vertical="center"/>
    </xf>
    <xf numFmtId="3" fontId="27" fillId="26" borderId="29" xfId="46" applyNumberFormat="1" applyFont="1" applyFill="1" applyBorder="1" applyAlignment="1">
      <alignment horizontal="center" vertical="center"/>
    </xf>
    <xf numFmtId="3" fontId="27" fillId="26" borderId="78" xfId="46" applyNumberFormat="1" applyFont="1" applyFill="1" applyBorder="1" applyAlignment="1">
      <alignment horizontal="center" vertical="center"/>
    </xf>
    <xf numFmtId="3" fontId="27" fillId="57" borderId="16" xfId="46" applyNumberFormat="1" applyFont="1" applyFill="1" applyBorder="1" applyAlignment="1">
      <alignment horizontal="center" vertical="center" wrapText="1"/>
    </xf>
    <xf numFmtId="3" fontId="27" fillId="57" borderId="29" xfId="46" applyNumberFormat="1" applyFont="1" applyFill="1" applyBorder="1" applyAlignment="1">
      <alignment horizontal="center" vertical="center"/>
    </xf>
    <xf numFmtId="3" fontId="27" fillId="57" borderId="34" xfId="46" applyNumberFormat="1" applyFont="1" applyFill="1" applyBorder="1" applyAlignment="1">
      <alignment horizontal="center" vertical="center"/>
    </xf>
    <xf numFmtId="3" fontId="27" fillId="57" borderId="11" xfId="46" applyNumberFormat="1" applyFont="1" applyFill="1" applyBorder="1" applyAlignment="1">
      <alignment horizontal="center" vertical="center" wrapText="1"/>
    </xf>
    <xf numFmtId="3" fontId="27" fillId="57" borderId="78" xfId="46" applyNumberFormat="1" applyFont="1" applyFill="1" applyBorder="1" applyAlignment="1">
      <alignment horizontal="center" vertical="center"/>
    </xf>
    <xf numFmtId="3" fontId="27" fillId="28" borderId="41" xfId="46" applyNumberFormat="1" applyFont="1" applyFill="1" applyBorder="1" applyAlignment="1">
      <alignment horizontal="center" vertical="center"/>
    </xf>
    <xf numFmtId="3" fontId="27" fillId="28" borderId="42" xfId="46" applyNumberFormat="1" applyFont="1" applyFill="1" applyBorder="1" applyAlignment="1">
      <alignment horizontal="center" vertical="center"/>
    </xf>
    <xf numFmtId="3" fontId="27" fillId="28" borderId="56" xfId="46" applyNumberFormat="1" applyFont="1" applyFill="1" applyBorder="1" applyAlignment="1">
      <alignment horizontal="center" vertical="center"/>
    </xf>
    <xf numFmtId="3" fontId="27" fillId="28" borderId="43" xfId="46" applyNumberFormat="1" applyFont="1" applyFill="1" applyBorder="1" applyAlignment="1">
      <alignment horizontal="center" vertical="center"/>
    </xf>
    <xf numFmtId="3" fontId="27" fillId="28" borderId="54" xfId="46" applyNumberFormat="1" applyFont="1" applyFill="1" applyBorder="1" applyAlignment="1">
      <alignment horizontal="center" vertical="center"/>
    </xf>
    <xf numFmtId="3" fontId="27" fillId="28" borderId="70" xfId="46" applyNumberFormat="1" applyFont="1" applyFill="1" applyBorder="1" applyAlignment="1">
      <alignment horizontal="center" vertical="center"/>
    </xf>
    <xf numFmtId="3" fontId="27" fillId="28" borderId="55" xfId="46" applyNumberFormat="1" applyFont="1" applyFill="1" applyBorder="1" applyAlignment="1">
      <alignment horizontal="center" vertical="center"/>
    </xf>
    <xf numFmtId="3" fontId="27" fillId="28" borderId="71" xfId="46" applyNumberFormat="1" applyFont="1" applyFill="1" applyBorder="1" applyAlignment="1">
      <alignment horizontal="center" vertical="center"/>
    </xf>
    <xf numFmtId="3" fontId="27" fillId="56" borderId="46" xfId="46" applyNumberFormat="1" applyFont="1" applyFill="1" applyBorder="1" applyAlignment="1">
      <alignment horizontal="center" vertical="center" wrapText="1"/>
    </xf>
    <xf numFmtId="3" fontId="27" fillId="56" borderId="59" xfId="46" applyNumberFormat="1" applyFont="1" applyFill="1" applyBorder="1" applyAlignment="1">
      <alignment horizontal="center" vertical="center"/>
    </xf>
    <xf numFmtId="3" fontId="27" fillId="56" borderId="62" xfId="46" applyNumberFormat="1" applyFont="1" applyFill="1" applyBorder="1" applyAlignment="1">
      <alignment horizontal="center" vertical="center"/>
    </xf>
    <xf numFmtId="3" fontId="27" fillId="56" borderId="23" xfId="46" applyNumberFormat="1" applyFont="1" applyFill="1" applyBorder="1" applyAlignment="1">
      <alignment horizontal="center" vertical="center"/>
    </xf>
    <xf numFmtId="3" fontId="27" fillId="56" borderId="14" xfId="46" applyNumberFormat="1" applyFont="1" applyFill="1" applyBorder="1" applyAlignment="1">
      <alignment horizontal="center" vertical="center" wrapText="1"/>
    </xf>
    <xf numFmtId="3" fontId="27" fillId="44" borderId="46" xfId="46" applyNumberFormat="1" applyFont="1" applyFill="1" applyBorder="1" applyAlignment="1">
      <alignment horizontal="center" vertical="center" wrapText="1"/>
    </xf>
    <xf numFmtId="3" fontId="27" fillId="44" borderId="69" xfId="46" applyNumberFormat="1" applyFont="1" applyFill="1" applyBorder="1" applyAlignment="1">
      <alignment horizontal="center" vertical="center"/>
    </xf>
    <xf numFmtId="3" fontId="27" fillId="44" borderId="24" xfId="46" applyNumberFormat="1" applyFont="1" applyFill="1" applyBorder="1" applyAlignment="1">
      <alignment horizontal="center" vertical="center"/>
    </xf>
    <xf numFmtId="3" fontId="27" fillId="44" borderId="45" xfId="46" applyNumberFormat="1" applyFont="1" applyFill="1" applyBorder="1" applyAlignment="1">
      <alignment horizontal="center" vertical="center"/>
    </xf>
    <xf numFmtId="3" fontId="27" fillId="26" borderId="25" xfId="46" applyNumberFormat="1" applyFont="1" applyFill="1" applyBorder="1" applyAlignment="1">
      <alignment horizontal="center" vertical="center" wrapText="1"/>
    </xf>
    <xf numFmtId="3" fontId="27" fillId="26" borderId="52" xfId="46" applyNumberFormat="1" applyFont="1" applyFill="1" applyBorder="1" applyAlignment="1">
      <alignment horizontal="center" vertical="center"/>
    </xf>
    <xf numFmtId="3" fontId="27" fillId="26" borderId="13" xfId="46" applyNumberFormat="1" applyFont="1" applyFill="1" applyBorder="1" applyAlignment="1">
      <alignment horizontal="center" vertical="center"/>
    </xf>
    <xf numFmtId="3" fontId="27" fillId="26" borderId="50" xfId="46" applyNumberFormat="1" applyFont="1" applyFill="1" applyBorder="1" applyAlignment="1">
      <alignment horizontal="center" vertical="center"/>
    </xf>
    <xf numFmtId="3" fontId="27" fillId="26" borderId="44" xfId="46" applyNumberFormat="1" applyFont="1" applyFill="1" applyBorder="1" applyAlignment="1">
      <alignment horizontal="center" vertical="center"/>
    </xf>
    <xf numFmtId="3" fontId="27" fillId="0" borderId="46" xfId="46" applyNumberFormat="1" applyFont="1" applyBorder="1" applyAlignment="1">
      <alignment horizontal="center" vertical="center"/>
    </xf>
    <xf numFmtId="3" fontId="27" fillId="26" borderId="14" xfId="46" applyNumberFormat="1" applyFont="1" applyFill="1" applyBorder="1" applyAlignment="1">
      <alignment horizontal="center" vertical="center"/>
    </xf>
    <xf numFmtId="3" fontId="27" fillId="26" borderId="17" xfId="46" applyNumberFormat="1" applyFont="1" applyFill="1" applyBorder="1" applyAlignment="1">
      <alignment horizontal="center" vertical="center"/>
    </xf>
    <xf numFmtId="3" fontId="27" fillId="57" borderId="48" xfId="46" applyNumberFormat="1" applyFont="1" applyFill="1" applyBorder="1" applyAlignment="1">
      <alignment horizontal="center" vertical="center" wrapText="1"/>
    </xf>
    <xf numFmtId="3" fontId="27" fillId="28" borderId="49" xfId="46" applyNumberFormat="1" applyFont="1" applyFill="1" applyBorder="1" applyAlignment="1">
      <alignment horizontal="center" vertical="center"/>
    </xf>
    <xf numFmtId="3" fontId="27" fillId="28" borderId="13" xfId="46" applyNumberFormat="1" applyFont="1" applyFill="1" applyBorder="1" applyAlignment="1">
      <alignment horizontal="center" vertical="center"/>
    </xf>
    <xf numFmtId="3" fontId="27" fillId="28" borderId="50" xfId="46" applyNumberFormat="1" applyFont="1" applyFill="1" applyBorder="1" applyAlignment="1">
      <alignment horizontal="center" vertical="center"/>
    </xf>
    <xf numFmtId="3" fontId="27" fillId="56" borderId="27" xfId="46" applyNumberFormat="1" applyFont="1" applyFill="1" applyBorder="1" applyAlignment="1">
      <alignment horizontal="center" vertical="center"/>
    </xf>
    <xf numFmtId="3" fontId="27" fillId="56" borderId="12" xfId="46" applyNumberFormat="1" applyFont="1" applyFill="1" applyBorder="1" applyAlignment="1">
      <alignment horizontal="center" vertical="center"/>
    </xf>
    <xf numFmtId="3" fontId="27" fillId="56" borderId="35" xfId="46" applyNumberFormat="1" applyFont="1" applyFill="1" applyBorder="1" applyAlignment="1">
      <alignment horizontal="center" vertical="center"/>
    </xf>
    <xf numFmtId="3" fontId="27" fillId="56" borderId="26" xfId="46" applyNumberFormat="1" applyFont="1" applyFill="1" applyBorder="1" applyAlignment="1">
      <alignment horizontal="center" vertical="center"/>
    </xf>
    <xf numFmtId="3" fontId="27" fillId="26" borderId="46" xfId="46" applyNumberFormat="1" applyFont="1" applyFill="1" applyBorder="1" applyAlignment="1">
      <alignment horizontal="center" vertical="center"/>
    </xf>
    <xf numFmtId="3" fontId="27" fillId="26" borderId="28" xfId="46" applyNumberFormat="1" applyFont="1" applyFill="1" applyBorder="1" applyAlignment="1">
      <alignment horizontal="center" vertical="center"/>
    </xf>
    <xf numFmtId="3" fontId="27" fillId="26" borderId="46" xfId="46" applyNumberFormat="1" applyFont="1" applyFill="1" applyBorder="1" applyAlignment="1">
      <alignment horizontal="center" vertical="center" wrapText="1"/>
    </xf>
    <xf numFmtId="3" fontId="27" fillId="26" borderId="72" xfId="46" applyNumberFormat="1" applyFont="1" applyFill="1" applyBorder="1" applyAlignment="1">
      <alignment horizontal="center" vertical="center"/>
    </xf>
    <xf numFmtId="3" fontId="27" fillId="26" borderId="59" xfId="46" applyNumberFormat="1" applyFont="1" applyFill="1" applyBorder="1" applyAlignment="1">
      <alignment horizontal="center" vertical="center"/>
    </xf>
    <xf numFmtId="3" fontId="27" fillId="26" borderId="23" xfId="46" applyNumberFormat="1" applyFont="1" applyFill="1" applyBorder="1" applyAlignment="1">
      <alignment horizontal="center" vertical="center"/>
    </xf>
    <xf numFmtId="3" fontId="27" fillId="0" borderId="75" xfId="46" applyNumberFormat="1" applyFont="1" applyBorder="1" applyAlignment="1">
      <alignment horizontal="center" vertical="center"/>
    </xf>
    <xf numFmtId="3" fontId="27" fillId="26" borderId="34" xfId="46" applyNumberFormat="1" applyFont="1" applyFill="1" applyBorder="1" applyAlignment="1">
      <alignment horizontal="center" vertical="center"/>
    </xf>
    <xf numFmtId="0" fontId="36" fillId="24" borderId="28" xfId="46" applyFont="1" applyFill="1" applyBorder="1" applyAlignment="1">
      <alignment horizontal="center" vertical="center"/>
    </xf>
    <xf numFmtId="3" fontId="27" fillId="24" borderId="41" xfId="46" applyNumberFormat="1" applyFont="1" applyFill="1" applyBorder="1" applyAlignment="1">
      <alignment horizontal="center" vertical="center"/>
    </xf>
    <xf numFmtId="3" fontId="27" fillId="24" borderId="54" xfId="46" applyNumberFormat="1" applyFont="1" applyFill="1" applyBorder="1" applyAlignment="1">
      <alignment horizontal="center" vertical="center"/>
    </xf>
    <xf numFmtId="3" fontId="27" fillId="24" borderId="42" xfId="46" applyNumberFormat="1" applyFont="1" applyFill="1" applyBorder="1" applyAlignment="1">
      <alignment horizontal="center" vertical="center"/>
    </xf>
    <xf numFmtId="3" fontId="27" fillId="24" borderId="43" xfId="46" applyNumberFormat="1" applyFont="1" applyFill="1" applyBorder="1" applyAlignment="1">
      <alignment horizontal="center" vertical="center"/>
    </xf>
    <xf numFmtId="0" fontId="36" fillId="25" borderId="73" xfId="46" applyFont="1" applyFill="1" applyBorder="1" applyAlignment="1">
      <alignment horizontal="center" vertical="center"/>
    </xf>
    <xf numFmtId="167" fontId="27" fillId="25" borderId="53" xfId="46" applyNumberFormat="1" applyFont="1" applyFill="1" applyBorder="1" applyAlignment="1">
      <alignment horizontal="center" vertical="center"/>
    </xf>
    <xf numFmtId="167" fontId="43" fillId="25" borderId="13" xfId="46" applyNumberFormat="1" applyFont="1" applyFill="1" applyBorder="1" applyAlignment="1">
      <alignment horizontal="center" vertical="center"/>
    </xf>
    <xf numFmtId="167" fontId="27" fillId="25" borderId="41" xfId="46" applyNumberFormat="1" applyFont="1" applyFill="1" applyBorder="1" applyAlignment="1">
      <alignment horizontal="center" vertical="center"/>
    </xf>
    <xf numFmtId="167" fontId="43" fillId="25" borderId="50" xfId="46" applyNumberFormat="1" applyFont="1" applyFill="1" applyBorder="1" applyAlignment="1">
      <alignment horizontal="center" vertical="center"/>
    </xf>
    <xf numFmtId="167" fontId="27" fillId="25" borderId="60" xfId="46" applyNumberFormat="1" applyFont="1" applyFill="1" applyBorder="1" applyAlignment="1">
      <alignment horizontal="center" vertical="center"/>
    </xf>
    <xf numFmtId="167" fontId="26" fillId="27" borderId="41" xfId="46" applyNumberFormat="1" applyFont="1" applyFill="1" applyBorder="1" applyAlignment="1">
      <alignment horizontal="center" vertical="center"/>
    </xf>
    <xf numFmtId="167" fontId="26" fillId="27" borderId="54" xfId="46" applyNumberFormat="1" applyFont="1" applyFill="1" applyBorder="1" applyAlignment="1">
      <alignment horizontal="center" vertical="center"/>
    </xf>
    <xf numFmtId="167" fontId="26" fillId="27" borderId="49" xfId="46" applyNumberFormat="1" applyFont="1" applyFill="1" applyBorder="1" applyAlignment="1">
      <alignment horizontal="center" vertical="center"/>
    </xf>
    <xf numFmtId="167" fontId="26" fillId="27" borderId="40" xfId="46" applyNumberFormat="1" applyFont="1" applyFill="1" applyBorder="1" applyAlignment="1">
      <alignment horizontal="center" vertical="center"/>
    </xf>
    <xf numFmtId="167" fontId="26" fillId="55" borderId="25" xfId="46" applyNumberFormat="1" applyFont="1" applyFill="1" applyBorder="1" applyAlignment="1">
      <alignment horizontal="center" vertical="center"/>
    </xf>
    <xf numFmtId="167" fontId="26" fillId="31" borderId="12" xfId="46" applyNumberFormat="1" applyFont="1" applyFill="1" applyBorder="1" applyAlignment="1">
      <alignment horizontal="center" vertical="center"/>
    </xf>
    <xf numFmtId="167" fontId="26" fillId="55" borderId="11" xfId="46" applyNumberFormat="1" applyFont="1" applyFill="1" applyBorder="1" applyAlignment="1">
      <alignment horizontal="center" vertical="center"/>
    </xf>
    <xf numFmtId="167" fontId="26" fillId="31" borderId="14" xfId="46" applyNumberFormat="1" applyFont="1" applyFill="1" applyBorder="1" applyAlignment="1">
      <alignment horizontal="center" vertical="center"/>
    </xf>
    <xf numFmtId="167" fontId="26" fillId="31" borderId="17" xfId="46" applyNumberFormat="1" applyFont="1" applyFill="1" applyBorder="1" applyAlignment="1">
      <alignment horizontal="center" vertical="center"/>
    </xf>
    <xf numFmtId="167" fontId="26" fillId="31" borderId="46" xfId="46" applyNumberFormat="1" applyFont="1" applyFill="1" applyBorder="1" applyAlignment="1">
      <alignment horizontal="center" vertical="center"/>
    </xf>
    <xf numFmtId="167" fontId="26" fillId="31" borderId="28" xfId="46" applyNumberFormat="1" applyFont="1" applyFill="1" applyBorder="1" applyAlignment="1">
      <alignment horizontal="center" vertical="center"/>
    </xf>
    <xf numFmtId="167" fontId="26" fillId="31" borderId="47" xfId="46" applyNumberFormat="1" applyFont="1" applyFill="1" applyBorder="1" applyAlignment="1">
      <alignment horizontal="center" vertical="center"/>
    </xf>
    <xf numFmtId="167" fontId="26" fillId="55" borderId="15" xfId="46" applyNumberFormat="1" applyFont="1" applyFill="1" applyBorder="1" applyAlignment="1">
      <alignment horizontal="center" vertical="center"/>
    </xf>
    <xf numFmtId="167" fontId="26" fillId="31" borderId="24" xfId="46" applyNumberFormat="1" applyFont="1" applyFill="1" applyBorder="1" applyAlignment="1">
      <alignment horizontal="center" vertical="center"/>
    </xf>
    <xf numFmtId="167" fontId="26" fillId="31" borderId="45" xfId="46" applyNumberFormat="1" applyFont="1" applyFill="1" applyBorder="1" applyAlignment="1">
      <alignment horizontal="center" vertical="center"/>
    </xf>
    <xf numFmtId="167" fontId="26" fillId="55" borderId="48" xfId="46" applyNumberFormat="1" applyFont="1" applyFill="1" applyBorder="1" applyAlignment="1">
      <alignment horizontal="center" vertical="center"/>
    </xf>
    <xf numFmtId="167" fontId="26" fillId="31" borderId="29" xfId="46" applyNumberFormat="1" applyFont="1" applyFill="1" applyBorder="1" applyAlignment="1">
      <alignment horizontal="center" vertical="center"/>
    </xf>
    <xf numFmtId="167" fontId="26" fillId="31" borderId="78" xfId="46" applyNumberFormat="1" applyFont="1" applyFill="1" applyBorder="1" applyAlignment="1">
      <alignment horizontal="center" vertical="center"/>
    </xf>
    <xf numFmtId="167" fontId="26" fillId="31" borderId="34" xfId="46" applyNumberFormat="1" applyFont="1" applyFill="1" applyBorder="1" applyAlignment="1">
      <alignment horizontal="center" vertical="center"/>
    </xf>
    <xf numFmtId="167" fontId="26" fillId="27" borderId="63" xfId="46" applyNumberFormat="1" applyFont="1" applyFill="1" applyBorder="1" applyAlignment="1">
      <alignment horizontal="center" vertical="center"/>
    </xf>
    <xf numFmtId="167" fontId="26" fillId="27" borderId="55" xfId="46" applyNumberFormat="1" applyFont="1" applyFill="1" applyBorder="1" applyAlignment="1">
      <alignment horizontal="center" vertical="center"/>
    </xf>
    <xf numFmtId="167" fontId="26" fillId="27" borderId="71" xfId="46" applyNumberFormat="1" applyFont="1" applyFill="1" applyBorder="1" applyAlignment="1">
      <alignment horizontal="center" vertical="center"/>
    </xf>
    <xf numFmtId="167" fontId="26" fillId="27" borderId="64" xfId="46" applyNumberFormat="1" applyFont="1" applyFill="1" applyBorder="1" applyAlignment="1">
      <alignment horizontal="center" vertical="center"/>
    </xf>
    <xf numFmtId="167" fontId="26" fillId="27" borderId="70" xfId="46" applyNumberFormat="1" applyFont="1" applyFill="1" applyBorder="1" applyAlignment="1">
      <alignment horizontal="center" vertical="center"/>
    </xf>
    <xf numFmtId="167" fontId="27" fillId="59" borderId="14" xfId="46" applyNumberFormat="1" applyFont="1" applyFill="1" applyBorder="1" applyAlignment="1">
      <alignment horizontal="center" vertical="center"/>
    </xf>
    <xf numFmtId="167" fontId="27" fillId="60" borderId="14" xfId="46" applyNumberFormat="1" applyFont="1" applyFill="1" applyBorder="1" applyAlignment="1">
      <alignment horizontal="center" vertical="center"/>
    </xf>
    <xf numFmtId="167" fontId="26" fillId="60" borderId="14" xfId="46" applyNumberFormat="1" applyFont="1" applyFill="1" applyBorder="1" applyAlignment="1">
      <alignment horizontal="center" vertical="center"/>
    </xf>
    <xf numFmtId="167" fontId="27" fillId="61" borderId="14" xfId="46" applyNumberFormat="1" applyFont="1" applyFill="1" applyBorder="1" applyAlignment="1">
      <alignment horizontal="center" vertical="center"/>
    </xf>
    <xf numFmtId="167" fontId="27" fillId="30" borderId="14" xfId="46" applyNumberFormat="1" applyFont="1" applyFill="1" applyBorder="1" applyAlignment="1">
      <alignment horizontal="center" vertical="center"/>
    </xf>
    <xf numFmtId="167" fontId="26" fillId="30" borderId="14" xfId="46" applyNumberFormat="1" applyFont="1" applyFill="1" applyBorder="1" applyAlignment="1">
      <alignment horizontal="center" vertical="center"/>
    </xf>
    <xf numFmtId="167" fontId="26" fillId="26" borderId="14" xfId="46" applyNumberFormat="1" applyFont="1" applyFill="1" applyBorder="1" applyAlignment="1">
      <alignment horizontal="center" vertical="center"/>
    </xf>
    <xf numFmtId="167" fontId="27" fillId="62" borderId="14" xfId="46" applyNumberFormat="1" applyFont="1" applyFill="1" applyBorder="1" applyAlignment="1">
      <alignment horizontal="center" vertical="center"/>
    </xf>
    <xf numFmtId="167" fontId="26" fillId="62" borderId="14" xfId="46" applyNumberFormat="1" applyFont="1" applyFill="1" applyBorder="1" applyAlignment="1">
      <alignment horizontal="center" vertical="center"/>
    </xf>
    <xf numFmtId="167" fontId="27" fillId="63" borderId="14" xfId="46" applyNumberFormat="1" applyFont="1" applyFill="1" applyBorder="1" applyAlignment="1">
      <alignment horizontal="center" vertical="center"/>
    </xf>
    <xf numFmtId="167" fontId="26" fillId="63" borderId="14" xfId="46" applyNumberFormat="1" applyFont="1" applyFill="1" applyBorder="1" applyAlignment="1">
      <alignment horizontal="center" vertical="center"/>
    </xf>
    <xf numFmtId="167" fontId="26" fillId="64" borderId="14" xfId="46" applyNumberFormat="1" applyFont="1" applyFill="1" applyBorder="1" applyAlignment="1">
      <alignment horizontal="center" vertical="center"/>
    </xf>
    <xf numFmtId="167" fontId="27" fillId="64" borderId="14" xfId="46" applyNumberFormat="1" applyFont="1" applyFill="1" applyBorder="1" applyAlignment="1">
      <alignment horizontal="center" vertical="center"/>
    </xf>
    <xf numFmtId="167" fontId="26" fillId="65" borderId="14" xfId="46" applyNumberFormat="1" applyFont="1" applyFill="1" applyBorder="1" applyAlignment="1">
      <alignment horizontal="center" vertical="center"/>
    </xf>
    <xf numFmtId="167" fontId="26" fillId="34" borderId="14" xfId="46" applyNumberFormat="1" applyFont="1" applyFill="1" applyBorder="1" applyAlignment="1">
      <alignment horizontal="center" vertical="center"/>
    </xf>
    <xf numFmtId="167" fontId="26" fillId="66" borderId="14" xfId="46" applyNumberFormat="1" applyFont="1" applyFill="1" applyBorder="1" applyAlignment="1">
      <alignment horizontal="center" vertical="center"/>
    </xf>
    <xf numFmtId="167" fontId="27" fillId="67" borderId="14" xfId="46" applyNumberFormat="1" applyFont="1" applyFill="1" applyBorder="1" applyAlignment="1">
      <alignment horizontal="center" vertical="center"/>
    </xf>
    <xf numFmtId="167" fontId="26" fillId="68" borderId="14" xfId="46" applyNumberFormat="1" applyFont="1" applyFill="1" applyBorder="1" applyAlignment="1">
      <alignment horizontal="center" vertical="center"/>
    </xf>
    <xf numFmtId="167" fontId="27" fillId="68" borderId="14" xfId="46" applyNumberFormat="1" applyFont="1" applyFill="1" applyBorder="1" applyAlignment="1">
      <alignment horizontal="center" vertical="center"/>
    </xf>
    <xf numFmtId="167" fontId="26" fillId="27" borderId="14" xfId="46" applyNumberFormat="1" applyFont="1" applyFill="1" applyBorder="1" applyAlignment="1">
      <alignment horizontal="center" vertical="center"/>
    </xf>
    <xf numFmtId="165" fontId="48" fillId="0" borderId="0" xfId="46" applyNumberFormat="1" applyFont="1" applyAlignment="1">
      <alignment horizontal="center"/>
    </xf>
    <xf numFmtId="165" fontId="25" fillId="0" borderId="0" xfId="46" applyNumberFormat="1" applyFont="1" applyAlignment="1">
      <alignment horizontal="left"/>
    </xf>
    <xf numFmtId="165" fontId="25" fillId="0" borderId="0" xfId="46" applyNumberFormat="1" applyFont="1" applyAlignment="1">
      <alignment horizontal="center"/>
    </xf>
    <xf numFmtId="165" fontId="61" fillId="0" borderId="0" xfId="46" applyNumberFormat="1" applyFont="1"/>
    <xf numFmtId="165" fontId="27" fillId="69" borderId="0" xfId="46" applyNumberFormat="1" applyFont="1" applyFill="1"/>
    <xf numFmtId="0" fontId="48" fillId="0" borderId="0" xfId="46" applyFont="1" applyAlignment="1">
      <alignment horizontal="center"/>
    </xf>
    <xf numFmtId="0" fontId="61" fillId="0" borderId="0" xfId="46" applyFont="1"/>
    <xf numFmtId="167" fontId="26" fillId="0" borderId="69" xfId="0" applyNumberFormat="1" applyFont="1" applyBorder="1" applyAlignment="1">
      <alignment horizontal="center" vertical="center" wrapText="1"/>
    </xf>
    <xf numFmtId="0" fontId="27" fillId="0" borderId="76" xfId="0" applyFont="1" applyBorder="1"/>
    <xf numFmtId="0" fontId="27" fillId="0" borderId="55" xfId="52" applyFont="1" applyBorder="1" applyAlignment="1">
      <alignment vertical="center" wrapText="1"/>
    </xf>
    <xf numFmtId="0" fontId="27" fillId="0" borderId="31" xfId="52" applyFont="1" applyBorder="1" applyAlignment="1">
      <alignment vertical="center" wrapText="1"/>
    </xf>
    <xf numFmtId="167" fontId="26" fillId="0" borderId="45" xfId="0" applyNumberFormat="1" applyFont="1" applyBorder="1" applyAlignment="1">
      <alignment horizontal="center" vertical="center"/>
    </xf>
    <xf numFmtId="0" fontId="27" fillId="26" borderId="62" xfId="52" applyFont="1" applyFill="1" applyBorder="1" applyAlignment="1">
      <alignment horizontal="center" vertical="center" wrapText="1"/>
    </xf>
    <xf numFmtId="0" fontId="27" fillId="0" borderId="100" xfId="52" applyFont="1" applyBorder="1" applyAlignment="1">
      <alignment horizontal="center" vertical="center" wrapText="1"/>
    </xf>
    <xf numFmtId="167" fontId="26" fillId="0" borderId="32" xfId="52" applyNumberFormat="1" applyFont="1" applyBorder="1" applyAlignment="1">
      <alignment horizontal="center" vertical="center" wrapText="1"/>
    </xf>
    <xf numFmtId="167" fontId="26" fillId="0" borderId="78" xfId="52" applyNumberFormat="1" applyFont="1" applyBorder="1" applyAlignment="1">
      <alignment horizontal="center" vertical="center" wrapText="1"/>
    </xf>
    <xf numFmtId="167" fontId="26" fillId="0" borderId="26" xfId="52" applyNumberFormat="1" applyFont="1" applyBorder="1" applyAlignment="1">
      <alignment horizontal="center" vertical="center" wrapText="1"/>
    </xf>
    <xf numFmtId="167" fontId="26" fillId="0" borderId="47" xfId="52" applyNumberFormat="1" applyFont="1" applyBorder="1" applyAlignment="1">
      <alignment horizontal="center" vertical="center" wrapText="1"/>
    </xf>
    <xf numFmtId="167" fontId="26" fillId="0" borderId="33" xfId="52" applyNumberFormat="1" applyFont="1" applyBorder="1" applyAlignment="1">
      <alignment horizontal="center" vertical="center" wrapText="1"/>
    </xf>
    <xf numFmtId="167" fontId="26" fillId="0" borderId="48" xfId="52" applyNumberFormat="1" applyFont="1" applyBorder="1" applyAlignment="1">
      <alignment horizontal="center" vertical="center" wrapText="1"/>
    </xf>
    <xf numFmtId="167" fontId="26" fillId="0" borderId="29" xfId="52" applyNumberFormat="1" applyFont="1" applyBorder="1" applyAlignment="1">
      <alignment horizontal="center" vertical="center" wrapText="1"/>
    </xf>
    <xf numFmtId="167" fontId="48" fillId="0" borderId="0" xfId="46" applyNumberFormat="1" applyFont="1"/>
    <xf numFmtId="167" fontId="37" fillId="0" borderId="14" xfId="46" applyNumberFormat="1" applyFont="1" applyBorder="1" applyAlignment="1">
      <alignment horizontal="center" vertical="center" wrapText="1"/>
    </xf>
    <xf numFmtId="167" fontId="37" fillId="0" borderId="11" xfId="46" applyNumberFormat="1" applyFont="1" applyBorder="1" applyAlignment="1">
      <alignment horizontal="center" vertical="center" wrapText="1"/>
    </xf>
    <xf numFmtId="167" fontId="28" fillId="0" borderId="10" xfId="46" applyNumberFormat="1" applyFont="1" applyBorder="1" applyAlignment="1">
      <alignment horizontal="center" vertical="center" wrapText="1"/>
    </xf>
    <xf numFmtId="167" fontId="30" fillId="31" borderId="19" xfId="46" applyNumberFormat="1" applyFont="1" applyFill="1" applyBorder="1" applyAlignment="1">
      <alignment horizontal="center" vertical="center" wrapText="1"/>
    </xf>
    <xf numFmtId="167" fontId="27" fillId="31" borderId="63" xfId="46" applyNumberFormat="1" applyFont="1" applyFill="1" applyBorder="1" applyAlignment="1">
      <alignment horizontal="center" vertical="center"/>
    </xf>
    <xf numFmtId="0" fontId="36" fillId="0" borderId="19" xfId="46" applyFont="1" applyBorder="1" applyAlignment="1">
      <alignment horizontal="center" vertical="center"/>
    </xf>
    <xf numFmtId="167" fontId="27" fillId="49" borderId="38" xfId="0" applyNumberFormat="1" applyFont="1" applyFill="1" applyBorder="1" applyAlignment="1">
      <alignment horizontal="center" vertical="center"/>
    </xf>
    <xf numFmtId="167" fontId="27" fillId="49" borderId="40" xfId="0" applyNumberFormat="1" applyFont="1" applyFill="1" applyBorder="1" applyAlignment="1">
      <alignment horizontal="center" vertical="center"/>
    </xf>
    <xf numFmtId="167" fontId="27" fillId="55" borderId="82" xfId="46" applyNumberFormat="1" applyFont="1" applyFill="1" applyBorder="1" applyAlignment="1">
      <alignment horizontal="center" vertical="center"/>
    </xf>
    <xf numFmtId="167" fontId="27" fillId="35" borderId="16" xfId="52" applyNumberFormat="1" applyFont="1" applyFill="1" applyBorder="1" applyAlignment="1">
      <alignment horizontal="center" vertical="center" wrapText="1"/>
    </xf>
    <xf numFmtId="167" fontId="27" fillId="35" borderId="31" xfId="52" applyNumberFormat="1" applyFont="1" applyFill="1" applyBorder="1" applyAlignment="1">
      <alignment horizontal="center" vertical="center" wrapText="1"/>
    </xf>
    <xf numFmtId="167" fontId="27" fillId="35" borderId="19" xfId="52" applyNumberFormat="1" applyFont="1" applyFill="1" applyBorder="1" applyAlignment="1">
      <alignment horizontal="center" vertical="center" wrapText="1"/>
    </xf>
    <xf numFmtId="167" fontId="67" fillId="35" borderId="15" xfId="46" applyNumberFormat="1" applyFont="1" applyFill="1" applyBorder="1" applyAlignment="1">
      <alignment horizontal="center" vertical="center" wrapText="1"/>
    </xf>
    <xf numFmtId="167" fontId="67" fillId="35" borderId="24" xfId="46" applyNumberFormat="1" applyFont="1" applyFill="1" applyBorder="1" applyAlignment="1">
      <alignment horizontal="center" vertical="center" wrapText="1"/>
    </xf>
    <xf numFmtId="167" fontId="27" fillId="35" borderId="24" xfId="46" applyNumberFormat="1" applyFont="1" applyFill="1" applyBorder="1" applyAlignment="1">
      <alignment horizontal="center" vertical="center" wrapText="1"/>
    </xf>
    <xf numFmtId="0" fontId="25" fillId="0" borderId="0" xfId="46" applyFont="1" applyAlignment="1">
      <alignment horizontal="center"/>
    </xf>
    <xf numFmtId="0" fontId="27" fillId="0" borderId="10" xfId="46" applyFont="1" applyBorder="1" applyAlignment="1">
      <alignment horizontal="center" vertical="center" wrapText="1"/>
    </xf>
    <xf numFmtId="167" fontId="27" fillId="0" borderId="25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12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16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31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25" xfId="46" applyNumberFormat="1" applyFont="1" applyFill="1" applyBorder="1" applyAlignment="1">
      <alignment horizontal="center" vertical="center" wrapText="1"/>
    </xf>
    <xf numFmtId="167" fontId="27" fillId="0" borderId="12" xfId="46" applyNumberFormat="1" applyFont="1" applyFill="1" applyBorder="1" applyAlignment="1">
      <alignment horizontal="center" vertical="center" wrapText="1"/>
    </xf>
    <xf numFmtId="167" fontId="27" fillId="0" borderId="26" xfId="46" applyNumberFormat="1" applyFont="1" applyFill="1" applyBorder="1" applyAlignment="1">
      <alignment horizontal="center" vertical="center" wrapText="1"/>
    </xf>
    <xf numFmtId="167" fontId="27" fillId="0" borderId="31" xfId="46" applyNumberFormat="1" applyFont="1" applyFill="1" applyBorder="1" applyAlignment="1">
      <alignment horizontal="center" vertical="center" wrapText="1"/>
    </xf>
    <xf numFmtId="167" fontId="27" fillId="0" borderId="24" xfId="46" applyNumberFormat="1" applyFont="1" applyFill="1" applyBorder="1" applyAlignment="1">
      <alignment horizontal="center" vertical="center" wrapText="1"/>
    </xf>
    <xf numFmtId="167" fontId="27" fillId="0" borderId="14" xfId="46" applyNumberFormat="1" applyFont="1" applyFill="1" applyBorder="1" applyAlignment="1">
      <alignment horizontal="center" vertical="center" wrapText="1"/>
    </xf>
    <xf numFmtId="167" fontId="27" fillId="0" borderId="59" xfId="46" applyNumberFormat="1" applyFont="1" applyFill="1" applyBorder="1" applyAlignment="1">
      <alignment horizontal="center" vertical="center" wrapText="1"/>
    </xf>
    <xf numFmtId="167" fontId="27" fillId="0" borderId="19" xfId="46" applyNumberFormat="1" applyFont="1" applyFill="1" applyBorder="1" applyAlignment="1">
      <alignment horizontal="center" vertical="center" wrapText="1"/>
    </xf>
    <xf numFmtId="167" fontId="27" fillId="0" borderId="28" xfId="46" applyNumberFormat="1" applyFont="1" applyFill="1" applyBorder="1" applyAlignment="1">
      <alignment horizontal="center" vertical="center" wrapText="1"/>
    </xf>
    <xf numFmtId="167" fontId="27" fillId="0" borderId="54" xfId="46" applyNumberFormat="1" applyFont="1" applyBorder="1" applyAlignment="1">
      <alignment horizontal="center" vertical="center" wrapText="1"/>
    </xf>
    <xf numFmtId="167" fontId="27" fillId="0" borderId="40" xfId="46" applyNumberFormat="1" applyFont="1" applyBorder="1" applyAlignment="1">
      <alignment horizontal="center" vertical="center" wrapText="1"/>
    </xf>
    <xf numFmtId="0" fontId="27" fillId="0" borderId="0" xfId="57" applyFont="1"/>
    <xf numFmtId="167" fontId="26" fillId="0" borderId="0" xfId="57" applyNumberFormat="1" applyFont="1"/>
    <xf numFmtId="167" fontId="27" fillId="0" borderId="0" xfId="57" applyNumberFormat="1" applyFont="1"/>
    <xf numFmtId="0" fontId="5" fillId="0" borderId="0" xfId="57" applyFont="1"/>
    <xf numFmtId="1" fontId="27" fillId="24" borderId="10" xfId="57" applyNumberFormat="1" applyFont="1" applyFill="1" applyBorder="1" applyAlignment="1">
      <alignment horizontal="center" vertical="center" wrapText="1"/>
    </xf>
    <xf numFmtId="167" fontId="27" fillId="0" borderId="10" xfId="57" applyNumberFormat="1" applyFont="1" applyBorder="1" applyAlignment="1">
      <alignment horizontal="center" vertical="center" wrapText="1"/>
    </xf>
    <xf numFmtId="167" fontId="27" fillId="0" borderId="16" xfId="57" applyNumberFormat="1" applyFont="1" applyBorder="1" applyAlignment="1">
      <alignment horizontal="center" vertical="center" wrapText="1"/>
    </xf>
    <xf numFmtId="167" fontId="27" fillId="0" borderId="19" xfId="57" applyNumberFormat="1" applyFont="1" applyBorder="1" applyAlignment="1">
      <alignment horizontal="center" vertical="center" wrapText="1"/>
    </xf>
    <xf numFmtId="167" fontId="27" fillId="28" borderId="41" xfId="57" applyNumberFormat="1" applyFont="1" applyFill="1" applyBorder="1" applyAlignment="1">
      <alignment horizontal="center" vertical="center"/>
    </xf>
    <xf numFmtId="167" fontId="27" fillId="28" borderId="42" xfId="57" applyNumberFormat="1" applyFont="1" applyFill="1" applyBorder="1" applyAlignment="1">
      <alignment horizontal="center" vertical="center"/>
    </xf>
    <xf numFmtId="167" fontId="27" fillId="28" borderId="43" xfId="57" applyNumberFormat="1" applyFont="1" applyFill="1" applyBorder="1" applyAlignment="1">
      <alignment horizontal="center" vertical="center"/>
    </xf>
    <xf numFmtId="167" fontId="5" fillId="0" borderId="0" xfId="57" applyNumberFormat="1" applyFont="1"/>
    <xf numFmtId="167" fontId="27" fillId="0" borderId="45" xfId="57" applyNumberFormat="1" applyFont="1" applyBorder="1" applyAlignment="1">
      <alignment horizontal="center" vertical="center" wrapText="1"/>
    </xf>
    <xf numFmtId="167" fontId="27" fillId="0" borderId="58" xfId="57" applyNumberFormat="1" applyFont="1" applyBorder="1" applyAlignment="1">
      <alignment horizontal="center" vertical="center" wrapText="1"/>
    </xf>
    <xf numFmtId="167" fontId="27" fillId="0" borderId="23" xfId="57" applyNumberFormat="1" applyFont="1" applyBorder="1" applyAlignment="1">
      <alignment horizontal="center" vertical="center" wrapText="1"/>
    </xf>
    <xf numFmtId="167" fontId="27" fillId="0" borderId="42" xfId="57" applyNumberFormat="1" applyFont="1" applyBorder="1" applyAlignment="1">
      <alignment horizontal="center" vertical="center" wrapText="1"/>
    </xf>
    <xf numFmtId="167" fontId="27" fillId="0" borderId="43" xfId="57" applyNumberFormat="1" applyFont="1" applyBorder="1" applyAlignment="1">
      <alignment horizontal="center" vertical="center"/>
    </xf>
    <xf numFmtId="1" fontId="27" fillId="24" borderId="45" xfId="57" applyNumberFormat="1" applyFont="1" applyFill="1" applyBorder="1" applyAlignment="1">
      <alignment horizontal="center" vertical="center" wrapText="1"/>
    </xf>
    <xf numFmtId="167" fontId="27" fillId="28" borderId="27" xfId="57" applyNumberFormat="1" applyFont="1" applyFill="1" applyBorder="1" applyAlignment="1">
      <alignment horizontal="center" vertical="center" wrapText="1"/>
    </xf>
    <xf numFmtId="167" fontId="27" fillId="28" borderId="12" xfId="57" applyNumberFormat="1" applyFont="1" applyFill="1" applyBorder="1" applyAlignment="1">
      <alignment horizontal="center" vertical="center" wrapText="1"/>
    </xf>
    <xf numFmtId="167" fontId="27" fillId="32" borderId="25" xfId="57" applyNumberFormat="1" applyFont="1" applyFill="1" applyBorder="1" applyAlignment="1">
      <alignment horizontal="center" vertical="center" wrapText="1"/>
    </xf>
    <xf numFmtId="167" fontId="27" fillId="32" borderId="12" xfId="57" applyNumberFormat="1" applyFont="1" applyFill="1" applyBorder="1" applyAlignment="1">
      <alignment horizontal="center" vertical="center" wrapText="1"/>
    </xf>
    <xf numFmtId="167" fontId="27" fillId="28" borderId="26" xfId="57" applyNumberFormat="1" applyFont="1" applyFill="1" applyBorder="1" applyAlignment="1">
      <alignment horizontal="center" vertical="center" wrapText="1"/>
    </xf>
    <xf numFmtId="167" fontId="27" fillId="28" borderId="25" xfId="57" applyNumberFormat="1" applyFont="1" applyFill="1" applyBorder="1" applyAlignment="1">
      <alignment horizontal="center" vertical="center" wrapText="1"/>
    </xf>
    <xf numFmtId="1" fontId="27" fillId="25" borderId="58" xfId="57" applyNumberFormat="1" applyFont="1" applyFill="1" applyBorder="1" applyAlignment="1">
      <alignment vertical="center" wrapText="1"/>
    </xf>
    <xf numFmtId="167" fontId="27" fillId="28" borderId="22" xfId="57" applyNumberFormat="1" applyFont="1" applyFill="1" applyBorder="1" applyAlignment="1">
      <alignment horizontal="right" vertical="center" wrapText="1"/>
    </xf>
    <xf numFmtId="167" fontId="27" fillId="28" borderId="64" xfId="57" applyNumberFormat="1" applyFont="1" applyFill="1" applyBorder="1" applyAlignment="1">
      <alignment vertical="center" wrapText="1"/>
    </xf>
    <xf numFmtId="167" fontId="27" fillId="28" borderId="49" xfId="57" applyNumberFormat="1" applyFont="1" applyFill="1" applyBorder="1" applyAlignment="1">
      <alignment horizontal="center" vertical="center" wrapText="1"/>
    </xf>
    <xf numFmtId="167" fontId="27" fillId="28" borderId="13" xfId="57" applyNumberFormat="1" applyFont="1" applyFill="1" applyBorder="1" applyAlignment="1">
      <alignment horizontal="center" vertical="center" wrapText="1"/>
    </xf>
    <xf numFmtId="167" fontId="27" fillId="28" borderId="44" xfId="57" applyNumberFormat="1" applyFont="1" applyFill="1" applyBorder="1" applyAlignment="1">
      <alignment horizontal="center" vertical="center" wrapText="1"/>
    </xf>
    <xf numFmtId="167" fontId="27" fillId="28" borderId="41" xfId="57" applyNumberFormat="1" applyFont="1" applyFill="1" applyBorder="1" applyAlignment="1">
      <alignment horizontal="center" vertical="center" wrapText="1"/>
    </xf>
    <xf numFmtId="167" fontId="27" fillId="28" borderId="42" xfId="57" applyNumberFormat="1" applyFont="1" applyFill="1" applyBorder="1" applyAlignment="1">
      <alignment horizontal="center" vertical="center" wrapText="1"/>
    </xf>
    <xf numFmtId="167" fontId="27" fillId="28" borderId="43" xfId="57" applyNumberFormat="1" applyFont="1" applyFill="1" applyBorder="1" applyAlignment="1">
      <alignment horizontal="center" vertical="center" wrapText="1"/>
    </xf>
    <xf numFmtId="167" fontId="27" fillId="24" borderId="28" xfId="57" quotePrefix="1" applyNumberFormat="1" applyFont="1" applyFill="1" applyBorder="1" applyAlignment="1">
      <alignment horizontal="center" vertical="center" wrapText="1"/>
    </xf>
    <xf numFmtId="167" fontId="27" fillId="24" borderId="41" xfId="57" applyNumberFormat="1" applyFont="1" applyFill="1" applyBorder="1" applyAlignment="1">
      <alignment horizontal="center" vertical="center"/>
    </xf>
    <xf numFmtId="167" fontId="27" fillId="24" borderId="13" xfId="57" applyNumberFormat="1" applyFont="1" applyFill="1" applyBorder="1" applyAlignment="1">
      <alignment horizontal="center" vertical="center"/>
    </xf>
    <xf numFmtId="167" fontId="27" fillId="24" borderId="42" xfId="57" applyNumberFormat="1" applyFont="1" applyFill="1" applyBorder="1" applyAlignment="1">
      <alignment horizontal="center" vertical="center"/>
    </xf>
    <xf numFmtId="167" fontId="27" fillId="24" borderId="43" xfId="57" applyNumberFormat="1" applyFont="1" applyFill="1" applyBorder="1" applyAlignment="1">
      <alignment horizontal="center" vertical="center"/>
    </xf>
    <xf numFmtId="167" fontId="27" fillId="0" borderId="20" xfId="57" applyNumberFormat="1" applyFont="1" applyBorder="1" applyAlignment="1">
      <alignment horizontal="center" vertical="center" wrapText="1"/>
    </xf>
    <xf numFmtId="1" fontId="27" fillId="25" borderId="22" xfId="57" applyNumberFormat="1" applyFont="1" applyFill="1" applyBorder="1" applyAlignment="1">
      <alignment horizontal="center" vertical="center" wrapText="1"/>
    </xf>
    <xf numFmtId="167" fontId="27" fillId="31" borderId="16" xfId="57" applyNumberFormat="1" applyFont="1" applyFill="1" applyBorder="1" applyAlignment="1">
      <alignment horizontal="center" vertical="center" wrapText="1"/>
    </xf>
    <xf numFmtId="167" fontId="27" fillId="31" borderId="19" xfId="57" applyNumberFormat="1" applyFont="1" applyFill="1" applyBorder="1" applyAlignment="1">
      <alignment horizontal="center" vertical="center" wrapText="1"/>
    </xf>
    <xf numFmtId="167" fontId="27" fillId="31" borderId="25" xfId="57" applyNumberFormat="1" applyFont="1" applyFill="1" applyBorder="1" applyAlignment="1">
      <alignment horizontal="center" vertical="center" wrapText="1"/>
    </xf>
    <xf numFmtId="167" fontId="27" fillId="31" borderId="26" xfId="57" applyNumberFormat="1" applyFont="1" applyFill="1" applyBorder="1" applyAlignment="1">
      <alignment horizontal="center" vertical="center" wrapText="1"/>
    </xf>
    <xf numFmtId="167" fontId="27" fillId="31" borderId="11" xfId="57" applyNumberFormat="1" applyFont="1" applyFill="1" applyBorder="1" applyAlignment="1">
      <alignment horizontal="center" vertical="center" wrapText="1"/>
    </xf>
    <xf numFmtId="167" fontId="27" fillId="31" borderId="28" xfId="57" applyNumberFormat="1" applyFont="1" applyFill="1" applyBorder="1" applyAlignment="1">
      <alignment horizontal="center" vertical="center" wrapText="1"/>
    </xf>
    <xf numFmtId="167" fontId="27" fillId="28" borderId="49" xfId="57" applyNumberFormat="1" applyFont="1" applyFill="1" applyBorder="1" applyAlignment="1">
      <alignment horizontal="center" vertical="center"/>
    </xf>
    <xf numFmtId="167" fontId="27" fillId="28" borderId="13" xfId="57" applyNumberFormat="1" applyFont="1" applyFill="1" applyBorder="1" applyAlignment="1">
      <alignment horizontal="center" vertical="center"/>
    </xf>
    <xf numFmtId="167" fontId="27" fillId="28" borderId="50" xfId="57" applyNumberFormat="1" applyFont="1" applyFill="1" applyBorder="1" applyAlignment="1">
      <alignment horizontal="center" vertical="center"/>
    </xf>
    <xf numFmtId="167" fontId="27" fillId="0" borderId="32" xfId="57" applyNumberFormat="1" applyFont="1" applyBorder="1" applyAlignment="1">
      <alignment horizontal="center" vertical="center"/>
    </xf>
    <xf numFmtId="167" fontId="27" fillId="0" borderId="36" xfId="57" applyNumberFormat="1" applyFont="1" applyBorder="1" applyAlignment="1">
      <alignment horizontal="center" vertical="center"/>
    </xf>
    <xf numFmtId="167" fontId="27" fillId="0" borderId="85" xfId="57" applyNumberFormat="1" applyFont="1" applyBorder="1" applyAlignment="1">
      <alignment horizontal="center" vertical="center"/>
    </xf>
    <xf numFmtId="167" fontId="27" fillId="0" borderId="29" xfId="57" applyNumberFormat="1" applyFont="1" applyBorder="1" applyAlignment="1">
      <alignment horizontal="center" vertical="center" wrapText="1"/>
    </xf>
    <xf numFmtId="167" fontId="27" fillId="28" borderId="70" xfId="57" applyNumberFormat="1" applyFont="1" applyFill="1" applyBorder="1" applyAlignment="1">
      <alignment horizontal="center" vertical="center"/>
    </xf>
    <xf numFmtId="167" fontId="27" fillId="28" borderId="55" xfId="57" applyNumberFormat="1" applyFont="1" applyFill="1" applyBorder="1" applyAlignment="1">
      <alignment horizontal="center" vertical="center"/>
    </xf>
    <xf numFmtId="167" fontId="27" fillId="28" borderId="71" xfId="57" applyNumberFormat="1" applyFont="1" applyFill="1" applyBorder="1" applyAlignment="1">
      <alignment horizontal="center" vertical="center"/>
    </xf>
    <xf numFmtId="167" fontId="27" fillId="0" borderId="19" xfId="57" applyNumberFormat="1" applyFont="1" applyBorder="1" applyAlignment="1">
      <alignment horizontal="center" vertical="center"/>
    </xf>
    <xf numFmtId="167" fontId="27" fillId="0" borderId="45" xfId="57" applyNumberFormat="1" applyFont="1" applyBorder="1" applyAlignment="1">
      <alignment horizontal="center" vertical="center"/>
    </xf>
    <xf numFmtId="167" fontId="27" fillId="0" borderId="26" xfId="57" applyNumberFormat="1" applyFont="1" applyBorder="1" applyAlignment="1">
      <alignment horizontal="center" vertical="center"/>
    </xf>
    <xf numFmtId="167" fontId="27" fillId="0" borderId="28" xfId="57" applyNumberFormat="1" applyFont="1" applyBorder="1" applyAlignment="1">
      <alignment horizontal="center" vertical="center"/>
    </xf>
    <xf numFmtId="167" fontId="27" fillId="0" borderId="23" xfId="57" applyNumberFormat="1" applyFont="1" applyBorder="1" applyAlignment="1">
      <alignment horizontal="center" vertical="center"/>
    </xf>
    <xf numFmtId="167" fontId="27" fillId="0" borderId="35" xfId="57" applyNumberFormat="1" applyFont="1" applyBorder="1" applyAlignment="1">
      <alignment horizontal="center" vertical="center"/>
    </xf>
    <xf numFmtId="167" fontId="27" fillId="0" borderId="62" xfId="57" applyNumberFormat="1" applyFont="1" applyBorder="1" applyAlignment="1">
      <alignment horizontal="center" vertical="center"/>
    </xf>
    <xf numFmtId="167" fontId="27" fillId="0" borderId="10" xfId="57" applyNumberFormat="1" applyFont="1" applyBorder="1" applyAlignment="1">
      <alignment horizontal="center" vertical="center"/>
    </xf>
    <xf numFmtId="0" fontId="27" fillId="31" borderId="17" xfId="57" applyFont="1" applyFill="1" applyBorder="1" applyAlignment="1">
      <alignment horizontal="center" vertical="center" wrapText="1"/>
    </xf>
    <xf numFmtId="167" fontId="27" fillId="0" borderId="30" xfId="57" applyNumberFormat="1" applyFont="1" applyBorder="1" applyAlignment="1">
      <alignment horizontal="center" vertical="center" wrapText="1"/>
    </xf>
    <xf numFmtId="167" fontId="27" fillId="0" borderId="33" xfId="57" applyNumberFormat="1" applyFont="1" applyBorder="1" applyAlignment="1">
      <alignment horizontal="center" vertical="center" wrapText="1"/>
    </xf>
    <xf numFmtId="0" fontId="29" fillId="0" borderId="0" xfId="57" applyFont="1" applyAlignment="1">
      <alignment vertical="center" wrapText="1"/>
    </xf>
    <xf numFmtId="0" fontId="27" fillId="0" borderId="45" xfId="57" applyFont="1" applyBorder="1" applyAlignment="1">
      <alignment horizontal="center" vertical="center" wrapText="1"/>
    </xf>
    <xf numFmtId="167" fontId="27" fillId="0" borderId="70" xfId="57" applyNumberFormat="1" applyFont="1" applyBorder="1" applyAlignment="1">
      <alignment horizontal="center" vertical="center" wrapText="1"/>
    </xf>
    <xf numFmtId="167" fontId="27" fillId="0" borderId="37" xfId="57" applyNumberFormat="1" applyFont="1" applyBorder="1" applyAlignment="1">
      <alignment horizontal="center" vertical="center" wrapText="1"/>
    </xf>
    <xf numFmtId="167" fontId="27" fillId="0" borderId="51" xfId="57" applyNumberFormat="1" applyFont="1" applyBorder="1" applyAlignment="1">
      <alignment horizontal="center" vertical="center" wrapText="1"/>
    </xf>
    <xf numFmtId="167" fontId="27" fillId="28" borderId="38" xfId="57" applyNumberFormat="1" applyFont="1" applyFill="1" applyBorder="1" applyAlignment="1">
      <alignment horizontal="center" vertical="center" wrapText="1"/>
    </xf>
    <xf numFmtId="0" fontId="29" fillId="24" borderId="0" xfId="57" applyFont="1" applyFill="1" applyAlignment="1">
      <alignment vertical="center" wrapText="1"/>
    </xf>
    <xf numFmtId="167" fontId="27" fillId="28" borderId="56" xfId="57" applyNumberFormat="1" applyFont="1" applyFill="1" applyBorder="1" applyAlignment="1">
      <alignment horizontal="center" vertical="center"/>
    </xf>
    <xf numFmtId="0" fontId="27" fillId="31" borderId="19" xfId="57" applyFont="1" applyFill="1" applyBorder="1" applyAlignment="1">
      <alignment horizontal="center" vertical="center" wrapText="1"/>
    </xf>
    <xf numFmtId="0" fontId="27" fillId="0" borderId="28" xfId="57" applyFont="1" applyBorder="1" applyAlignment="1">
      <alignment horizontal="center" vertical="center" wrapText="1"/>
    </xf>
    <xf numFmtId="0" fontId="27" fillId="0" borderId="23" xfId="57" applyFont="1" applyBorder="1" applyAlignment="1">
      <alignment horizontal="center" vertical="center" wrapText="1"/>
    </xf>
    <xf numFmtId="167" fontId="27" fillId="0" borderId="75" xfId="57" applyNumberFormat="1" applyFont="1" applyBorder="1" applyAlignment="1">
      <alignment horizontal="center" vertical="center" wrapText="1"/>
    </xf>
    <xf numFmtId="167" fontId="27" fillId="0" borderId="87" xfId="57" applyNumberFormat="1" applyFont="1" applyBorder="1" applyAlignment="1">
      <alignment horizontal="center" vertical="center" wrapText="1"/>
    </xf>
    <xf numFmtId="167" fontId="27" fillId="28" borderId="55" xfId="57" applyNumberFormat="1" applyFont="1" applyFill="1" applyBorder="1" applyAlignment="1">
      <alignment horizontal="center" vertical="center" wrapText="1"/>
    </xf>
    <xf numFmtId="167" fontId="27" fillId="28" borderId="63" xfId="57" applyNumberFormat="1" applyFont="1" applyFill="1" applyBorder="1" applyAlignment="1">
      <alignment horizontal="center" vertical="center" wrapText="1"/>
    </xf>
    <xf numFmtId="167" fontId="27" fillId="28" borderId="74" xfId="57" applyNumberFormat="1" applyFont="1" applyFill="1" applyBorder="1" applyAlignment="1">
      <alignment horizontal="center" vertical="center" wrapText="1"/>
    </xf>
    <xf numFmtId="167" fontId="27" fillId="0" borderId="50" xfId="57" applyNumberFormat="1" applyFont="1" applyBorder="1" applyAlignment="1">
      <alignment horizontal="center" vertical="center" wrapText="1"/>
    </xf>
    <xf numFmtId="167" fontId="27" fillId="31" borderId="76" xfId="57" applyNumberFormat="1" applyFont="1" applyFill="1" applyBorder="1" applyAlignment="1">
      <alignment horizontal="center" vertical="center" wrapText="1"/>
    </xf>
    <xf numFmtId="167" fontId="27" fillId="31" borderId="0" xfId="57" applyNumberFormat="1" applyFont="1" applyFill="1" applyAlignment="1">
      <alignment horizontal="center" vertical="center"/>
    </xf>
    <xf numFmtId="167" fontId="27" fillId="31" borderId="76" xfId="57" applyNumberFormat="1" applyFont="1" applyFill="1" applyBorder="1" applyAlignment="1">
      <alignment horizontal="center" vertical="center"/>
    </xf>
    <xf numFmtId="167" fontId="27" fillId="31" borderId="59" xfId="57" applyNumberFormat="1" applyFont="1" applyFill="1" applyBorder="1" applyAlignment="1">
      <alignment horizontal="right" vertical="center" wrapText="1"/>
    </xf>
    <xf numFmtId="167" fontId="27" fillId="31" borderId="41" xfId="57" applyNumberFormat="1" applyFont="1" applyFill="1" applyBorder="1" applyAlignment="1">
      <alignment horizontal="center" vertical="center"/>
    </xf>
    <xf numFmtId="167" fontId="27" fillId="31" borderId="42" xfId="57" applyNumberFormat="1" applyFont="1" applyFill="1" applyBorder="1" applyAlignment="1">
      <alignment horizontal="center" vertical="center"/>
    </xf>
    <xf numFmtId="167" fontId="27" fillId="31" borderId="43" xfId="57" applyNumberFormat="1" applyFont="1" applyFill="1" applyBorder="1" applyAlignment="1">
      <alignment horizontal="center" vertical="center"/>
    </xf>
    <xf numFmtId="167" fontId="27" fillId="31" borderId="10" xfId="57" applyNumberFormat="1" applyFont="1" applyFill="1" applyBorder="1" applyAlignment="1">
      <alignment horizontal="center" vertical="center" wrapText="1"/>
    </xf>
    <xf numFmtId="167" fontId="27" fillId="31" borderId="25" xfId="57" applyNumberFormat="1" applyFont="1" applyFill="1" applyBorder="1" applyAlignment="1">
      <alignment horizontal="center" vertical="center"/>
    </xf>
    <xf numFmtId="167" fontId="27" fillId="31" borderId="12" xfId="57" applyNumberFormat="1" applyFont="1" applyFill="1" applyBorder="1" applyAlignment="1">
      <alignment horizontal="center" vertical="center"/>
    </xf>
    <xf numFmtId="167" fontId="27" fillId="31" borderId="26" xfId="57" applyNumberFormat="1" applyFont="1" applyFill="1" applyBorder="1" applyAlignment="1">
      <alignment horizontal="center" vertical="center"/>
    </xf>
    <xf numFmtId="167" fontId="27" fillId="31" borderId="62" xfId="57" applyNumberFormat="1" applyFont="1" applyFill="1" applyBorder="1" applyAlignment="1">
      <alignment horizontal="center" vertical="center" wrapText="1"/>
    </xf>
    <xf numFmtId="167" fontId="27" fillId="31" borderId="58" xfId="57" applyNumberFormat="1" applyFont="1" applyFill="1" applyBorder="1" applyAlignment="1">
      <alignment horizontal="center" vertical="center"/>
    </xf>
    <xf numFmtId="167" fontId="27" fillId="31" borderId="59" xfId="57" applyNumberFormat="1" applyFont="1" applyFill="1" applyBorder="1" applyAlignment="1">
      <alignment horizontal="center" vertical="center"/>
    </xf>
    <xf numFmtId="167" fontId="27" fillId="31" borderId="23" xfId="57" applyNumberFormat="1" applyFont="1" applyFill="1" applyBorder="1" applyAlignment="1">
      <alignment horizontal="center" vertical="center"/>
    </xf>
    <xf numFmtId="167" fontId="27" fillId="0" borderId="20" xfId="57" applyNumberFormat="1" applyFont="1" applyBorder="1" applyAlignment="1">
      <alignment horizontal="center" vertical="center"/>
    </xf>
    <xf numFmtId="167" fontId="27" fillId="0" borderId="17" xfId="57" applyNumberFormat="1" applyFont="1" applyBorder="1" applyAlignment="1">
      <alignment horizontal="center" vertical="center"/>
    </xf>
    <xf numFmtId="167" fontId="27" fillId="28" borderId="70" xfId="57" applyNumberFormat="1" applyFont="1" applyFill="1" applyBorder="1" applyAlignment="1">
      <alignment horizontal="center" vertical="center" wrapText="1"/>
    </xf>
    <xf numFmtId="167" fontId="27" fillId="28" borderId="71" xfId="57" applyNumberFormat="1" applyFont="1" applyFill="1" applyBorder="1" applyAlignment="1">
      <alignment horizontal="center" vertical="center" wrapText="1"/>
    </xf>
    <xf numFmtId="167" fontId="27" fillId="28" borderId="39" xfId="57" applyNumberFormat="1" applyFont="1" applyFill="1" applyBorder="1" applyAlignment="1">
      <alignment vertical="center" wrapText="1"/>
    </xf>
    <xf numFmtId="167" fontId="27" fillId="24" borderId="19" xfId="57" quotePrefix="1" applyNumberFormat="1" applyFont="1" applyFill="1" applyBorder="1" applyAlignment="1">
      <alignment horizontal="center" vertical="center" wrapText="1"/>
    </xf>
    <xf numFmtId="167" fontId="27" fillId="0" borderId="71" xfId="57" applyNumberFormat="1" applyFont="1" applyBorder="1" applyAlignment="1">
      <alignment horizontal="center" vertical="center" wrapText="1"/>
    </xf>
    <xf numFmtId="167" fontId="27" fillId="0" borderId="34" xfId="57" applyNumberFormat="1" applyFont="1" applyBorder="1" applyAlignment="1">
      <alignment horizontal="center" vertical="center"/>
    </xf>
    <xf numFmtId="167" fontId="27" fillId="0" borderId="52" xfId="57" applyNumberFormat="1" applyFont="1" applyBorder="1" applyAlignment="1">
      <alignment horizontal="center" vertical="center" wrapText="1"/>
    </xf>
    <xf numFmtId="167" fontId="27" fillId="0" borderId="48" xfId="57" applyNumberFormat="1" applyFont="1" applyBorder="1" applyAlignment="1">
      <alignment horizontal="center" vertical="center" wrapText="1"/>
    </xf>
    <xf numFmtId="167" fontId="27" fillId="0" borderId="34" xfId="57" applyNumberFormat="1" applyFont="1" applyBorder="1" applyAlignment="1">
      <alignment horizontal="center" vertical="center" wrapText="1"/>
    </xf>
    <xf numFmtId="167" fontId="27" fillId="31" borderId="10" xfId="57" applyNumberFormat="1" applyFont="1" applyFill="1" applyBorder="1" applyAlignment="1">
      <alignment horizontal="center" vertical="center"/>
    </xf>
    <xf numFmtId="167" fontId="27" fillId="31" borderId="31" xfId="57" applyNumberFormat="1" applyFont="1" applyFill="1" applyBorder="1" applyAlignment="1">
      <alignment horizontal="center" vertical="center" wrapText="1"/>
    </xf>
    <xf numFmtId="167" fontId="27" fillId="31" borderId="17" xfId="57" applyNumberFormat="1" applyFont="1" applyFill="1" applyBorder="1" applyAlignment="1">
      <alignment horizontal="center" vertical="center" wrapText="1"/>
    </xf>
    <xf numFmtId="167" fontId="27" fillId="31" borderId="14" xfId="57" applyNumberFormat="1" applyFont="1" applyFill="1" applyBorder="1" applyAlignment="1">
      <alignment horizontal="center" vertical="center" wrapText="1"/>
    </xf>
    <xf numFmtId="167" fontId="27" fillId="31" borderId="17" xfId="57" applyNumberFormat="1" applyFont="1" applyFill="1" applyBorder="1" applyAlignment="1">
      <alignment horizontal="center" vertical="center"/>
    </xf>
    <xf numFmtId="167" fontId="27" fillId="31" borderId="45" xfId="57" applyNumberFormat="1" applyFont="1" applyFill="1" applyBorder="1" applyAlignment="1">
      <alignment horizontal="center" vertical="center"/>
    </xf>
    <xf numFmtId="167" fontId="27" fillId="0" borderId="78" xfId="57" applyNumberFormat="1" applyFont="1" applyBorder="1" applyAlignment="1">
      <alignment horizontal="center" vertical="center" wrapText="1"/>
    </xf>
    <xf numFmtId="167" fontId="27" fillId="0" borderId="25" xfId="57" applyNumberFormat="1" applyFont="1" applyBorder="1" applyAlignment="1">
      <alignment horizontal="center" vertical="center"/>
    </xf>
    <xf numFmtId="167" fontId="27" fillId="0" borderId="12" xfId="57" applyNumberFormat="1" applyFont="1" applyBorder="1" applyAlignment="1">
      <alignment horizontal="center" vertical="center"/>
    </xf>
    <xf numFmtId="167" fontId="27" fillId="31" borderId="11" xfId="57" applyNumberFormat="1" applyFont="1" applyFill="1" applyBorder="1" applyAlignment="1">
      <alignment horizontal="center" vertical="center"/>
    </xf>
    <xf numFmtId="167" fontId="27" fillId="31" borderId="14" xfId="57" applyNumberFormat="1" applyFont="1" applyFill="1" applyBorder="1" applyAlignment="1">
      <alignment horizontal="center" vertical="center"/>
    </xf>
    <xf numFmtId="167" fontId="27" fillId="31" borderId="28" xfId="57" applyNumberFormat="1" applyFont="1" applyFill="1" applyBorder="1" applyAlignment="1">
      <alignment horizontal="center" vertical="center"/>
    </xf>
    <xf numFmtId="0" fontId="27" fillId="31" borderId="0" xfId="57" applyFont="1" applyFill="1"/>
    <xf numFmtId="167" fontId="27" fillId="0" borderId="70" xfId="57" applyNumberFormat="1" applyFont="1" applyBorder="1" applyAlignment="1">
      <alignment horizontal="center" vertical="center"/>
    </xf>
    <xf numFmtId="167" fontId="27" fillId="0" borderId="71" xfId="57" applyNumberFormat="1" applyFont="1" applyBorder="1" applyAlignment="1">
      <alignment horizontal="center" vertical="center"/>
    </xf>
    <xf numFmtId="167" fontId="27" fillId="0" borderId="72" xfId="57" applyNumberFormat="1" applyFont="1" applyBorder="1" applyAlignment="1">
      <alignment horizontal="center" vertical="center" wrapText="1"/>
    </xf>
    <xf numFmtId="167" fontId="27" fillId="28" borderId="58" xfId="57" applyNumberFormat="1" applyFont="1" applyFill="1" applyBorder="1" applyAlignment="1">
      <alignment horizontal="center" vertical="center" wrapText="1"/>
    </xf>
    <xf numFmtId="167" fontId="27" fillId="28" borderId="59" xfId="57" applyNumberFormat="1" applyFont="1" applyFill="1" applyBorder="1" applyAlignment="1">
      <alignment horizontal="center" vertical="center" wrapText="1"/>
    </xf>
    <xf numFmtId="167" fontId="27" fillId="28" borderId="23" xfId="57" applyNumberFormat="1" applyFont="1" applyFill="1" applyBorder="1" applyAlignment="1">
      <alignment horizontal="center" vertical="center" wrapText="1"/>
    </xf>
    <xf numFmtId="167" fontId="27" fillId="24" borderId="10" xfId="57" quotePrefix="1" applyNumberFormat="1" applyFont="1" applyFill="1" applyBorder="1" applyAlignment="1">
      <alignment horizontal="center" vertical="center" wrapText="1"/>
    </xf>
    <xf numFmtId="167" fontId="27" fillId="24" borderId="49" xfId="57" applyNumberFormat="1" applyFont="1" applyFill="1" applyBorder="1" applyAlignment="1">
      <alignment horizontal="center" vertical="center"/>
    </xf>
    <xf numFmtId="167" fontId="27" fillId="24" borderId="50" xfId="57" applyNumberFormat="1" applyFont="1" applyFill="1" applyBorder="1" applyAlignment="1">
      <alignment horizontal="center" vertical="center"/>
    </xf>
    <xf numFmtId="1" fontId="27" fillId="24" borderId="28" xfId="57" applyNumberFormat="1" applyFont="1" applyFill="1" applyBorder="1" applyAlignment="1">
      <alignment horizontal="center" vertical="center" wrapText="1"/>
    </xf>
    <xf numFmtId="167" fontId="27" fillId="31" borderId="22" xfId="57" applyNumberFormat="1" applyFont="1" applyFill="1" applyBorder="1" applyAlignment="1">
      <alignment horizontal="center" vertical="center"/>
    </xf>
    <xf numFmtId="0" fontId="27" fillId="0" borderId="24" xfId="57" applyFont="1" applyBorder="1" applyAlignment="1">
      <alignment vertical="center" wrapText="1"/>
    </xf>
    <xf numFmtId="0" fontId="27" fillId="0" borderId="71" xfId="57" applyFont="1" applyBorder="1" applyAlignment="1">
      <alignment horizontal="center" vertical="center"/>
    </xf>
    <xf numFmtId="167" fontId="27" fillId="0" borderId="75" xfId="57" applyNumberFormat="1" applyFont="1" applyBorder="1" applyAlignment="1">
      <alignment horizontal="center" vertical="center"/>
    </xf>
    <xf numFmtId="167" fontId="27" fillId="0" borderId="29" xfId="57" applyNumberFormat="1" applyFont="1" applyBorder="1" applyAlignment="1">
      <alignment horizontal="center" vertical="center"/>
    </xf>
    <xf numFmtId="167" fontId="27" fillId="28" borderId="54" xfId="57" applyNumberFormat="1" applyFont="1" applyFill="1" applyBorder="1" applyAlignment="1">
      <alignment horizontal="center" vertical="center"/>
    </xf>
    <xf numFmtId="0" fontId="27" fillId="0" borderId="35" xfId="57" applyFont="1" applyBorder="1" applyAlignment="1">
      <alignment horizontal="center" vertical="center" wrapText="1"/>
    </xf>
    <xf numFmtId="0" fontId="27" fillId="0" borderId="62" xfId="57" applyFont="1" applyBorder="1" applyAlignment="1">
      <alignment horizontal="center" vertical="center" wrapText="1"/>
    </xf>
    <xf numFmtId="167" fontId="27" fillId="28" borderId="50" xfId="57" applyNumberFormat="1" applyFont="1" applyFill="1" applyBorder="1" applyAlignment="1">
      <alignment horizontal="center" vertical="center" wrapText="1"/>
    </xf>
    <xf numFmtId="1" fontId="27" fillId="24" borderId="20" xfId="57" applyNumberFormat="1" applyFont="1" applyFill="1" applyBorder="1" applyAlignment="1">
      <alignment horizontal="center" vertical="center"/>
    </xf>
    <xf numFmtId="167" fontId="27" fillId="26" borderId="42" xfId="57" applyNumberFormat="1" applyFont="1" applyFill="1" applyBorder="1" applyAlignment="1">
      <alignment horizontal="center" vertical="center" wrapText="1"/>
    </xf>
    <xf numFmtId="167" fontId="27" fillId="0" borderId="41" xfId="57" applyNumberFormat="1" applyFont="1" applyBorder="1" applyAlignment="1">
      <alignment horizontal="center" vertical="center" wrapText="1"/>
    </xf>
    <xf numFmtId="167" fontId="27" fillId="0" borderId="43" xfId="57" applyNumberFormat="1" applyFont="1" applyBorder="1" applyAlignment="1">
      <alignment horizontal="center" vertical="center" wrapText="1"/>
    </xf>
    <xf numFmtId="1" fontId="27" fillId="24" borderId="28" xfId="57" applyNumberFormat="1" applyFont="1" applyFill="1" applyBorder="1" applyAlignment="1">
      <alignment horizontal="center" vertical="center"/>
    </xf>
    <xf numFmtId="1" fontId="27" fillId="24" borderId="10" xfId="57" applyNumberFormat="1" applyFont="1" applyFill="1" applyBorder="1" applyAlignment="1">
      <alignment horizontal="center" vertical="center"/>
    </xf>
    <xf numFmtId="167" fontId="27" fillId="26" borderId="23" xfId="57" applyNumberFormat="1" applyFont="1" applyFill="1" applyBorder="1" applyAlignment="1">
      <alignment horizontal="center" vertical="center" wrapText="1"/>
    </xf>
    <xf numFmtId="1" fontId="27" fillId="24" borderId="23" xfId="57" applyNumberFormat="1" applyFont="1" applyFill="1" applyBorder="1" applyAlignment="1">
      <alignment horizontal="center" vertical="center"/>
    </xf>
    <xf numFmtId="1" fontId="27" fillId="25" borderId="18" xfId="57" applyNumberFormat="1" applyFont="1" applyFill="1" applyBorder="1" applyAlignment="1">
      <alignment horizontal="center" vertical="center"/>
    </xf>
    <xf numFmtId="167" fontId="27" fillId="25" borderId="49" xfId="57" applyNumberFormat="1" applyFont="1" applyFill="1" applyBorder="1" applyAlignment="1">
      <alignment horizontal="center" vertical="center"/>
    </xf>
    <xf numFmtId="167" fontId="27" fillId="25" borderId="13" xfId="57" applyNumberFormat="1" applyFont="1" applyFill="1" applyBorder="1" applyAlignment="1">
      <alignment horizontal="center" vertical="center"/>
    </xf>
    <xf numFmtId="167" fontId="27" fillId="25" borderId="50" xfId="57" applyNumberFormat="1" applyFont="1" applyFill="1" applyBorder="1" applyAlignment="1">
      <alignment horizontal="center" vertical="center"/>
    </xf>
    <xf numFmtId="1" fontId="27" fillId="24" borderId="19" xfId="57" applyNumberFormat="1" applyFont="1" applyFill="1" applyBorder="1" applyAlignment="1">
      <alignment horizontal="center" vertical="center"/>
    </xf>
    <xf numFmtId="167" fontId="27" fillId="28" borderId="38" xfId="57" applyNumberFormat="1" applyFont="1" applyFill="1" applyBorder="1" applyAlignment="1">
      <alignment horizontal="center" vertical="center"/>
    </xf>
    <xf numFmtId="167" fontId="27" fillId="24" borderId="38" xfId="57" applyNumberFormat="1" applyFont="1" applyFill="1" applyBorder="1" applyAlignment="1">
      <alignment horizontal="center" vertical="center"/>
    </xf>
    <xf numFmtId="1" fontId="27" fillId="24" borderId="17" xfId="57" applyNumberFormat="1" applyFont="1" applyFill="1" applyBorder="1" applyAlignment="1">
      <alignment horizontal="center" vertical="center"/>
    </xf>
    <xf numFmtId="167" fontId="27" fillId="24" borderId="70" xfId="57" applyNumberFormat="1" applyFont="1" applyFill="1" applyBorder="1" applyAlignment="1">
      <alignment horizontal="center" vertical="center"/>
    </xf>
    <xf numFmtId="167" fontId="27" fillId="24" borderId="55" xfId="57" applyNumberFormat="1" applyFont="1" applyFill="1" applyBorder="1" applyAlignment="1">
      <alignment horizontal="center" vertical="center"/>
    </xf>
    <xf numFmtId="167" fontId="27" fillId="24" borderId="71" xfId="57" applyNumberFormat="1" applyFont="1" applyFill="1" applyBorder="1" applyAlignment="1">
      <alignment horizontal="center" vertical="center"/>
    </xf>
    <xf numFmtId="167" fontId="27" fillId="28" borderId="25" xfId="57" applyNumberFormat="1" applyFont="1" applyFill="1" applyBorder="1" applyAlignment="1">
      <alignment horizontal="center" vertical="center"/>
    </xf>
    <xf numFmtId="167" fontId="27" fillId="28" borderId="12" xfId="57" applyNumberFormat="1" applyFont="1" applyFill="1" applyBorder="1" applyAlignment="1">
      <alignment horizontal="center" vertical="center"/>
    </xf>
    <xf numFmtId="167" fontId="27" fillId="28" borderId="26" xfId="57" applyNumberFormat="1" applyFont="1" applyFill="1" applyBorder="1" applyAlignment="1">
      <alignment horizontal="center" vertical="center"/>
    </xf>
    <xf numFmtId="167" fontId="27" fillId="0" borderId="30" xfId="57" applyNumberFormat="1" applyFont="1" applyBorder="1" applyAlignment="1">
      <alignment horizontal="center" vertical="center"/>
    </xf>
    <xf numFmtId="167" fontId="27" fillId="0" borderId="0" xfId="57" applyNumberFormat="1" applyFont="1" applyAlignment="1">
      <alignment horizontal="center" vertical="center"/>
    </xf>
    <xf numFmtId="1" fontId="27" fillId="0" borderId="31" xfId="57" applyNumberFormat="1" applyFont="1" applyBorder="1" applyAlignment="1">
      <alignment horizontal="center" vertical="center" wrapText="1" shrinkToFit="1"/>
    </xf>
    <xf numFmtId="167" fontId="27" fillId="26" borderId="31" xfId="57" applyNumberFormat="1" applyFont="1" applyFill="1" applyBorder="1" applyAlignment="1">
      <alignment horizontal="center" vertical="center"/>
    </xf>
    <xf numFmtId="1" fontId="27" fillId="0" borderId="14" xfId="57" applyNumberFormat="1" applyFont="1" applyBorder="1" applyAlignment="1">
      <alignment horizontal="center" vertical="center" wrapText="1" shrinkToFit="1"/>
    </xf>
    <xf numFmtId="167" fontId="27" fillId="26" borderId="14" xfId="57" applyNumberFormat="1" applyFont="1" applyFill="1" applyBorder="1" applyAlignment="1">
      <alignment horizontal="center" vertical="center"/>
    </xf>
    <xf numFmtId="1" fontId="27" fillId="0" borderId="17" xfId="57" applyNumberFormat="1" applyFont="1" applyBorder="1" applyAlignment="1">
      <alignment horizontal="center" vertical="center" wrapText="1" shrinkToFit="1"/>
    </xf>
    <xf numFmtId="1" fontId="27" fillId="0" borderId="62" xfId="57" applyNumberFormat="1" applyFont="1" applyBorder="1" applyAlignment="1">
      <alignment vertical="center" wrapText="1"/>
    </xf>
    <xf numFmtId="167" fontId="27" fillId="0" borderId="61" xfId="57" applyNumberFormat="1" applyFont="1" applyBorder="1" applyAlignment="1">
      <alignment horizontal="center" vertical="center" wrapText="1"/>
    </xf>
    <xf numFmtId="1" fontId="27" fillId="0" borderId="45" xfId="57" applyNumberFormat="1" applyFont="1" applyBorder="1" applyAlignment="1">
      <alignment vertical="center" wrapText="1"/>
    </xf>
    <xf numFmtId="1" fontId="27" fillId="24" borderId="62" xfId="57" applyNumberFormat="1" applyFont="1" applyFill="1" applyBorder="1" applyAlignment="1">
      <alignment horizontal="center" vertical="center"/>
    </xf>
    <xf numFmtId="1" fontId="27" fillId="25" borderId="83" xfId="57" applyNumberFormat="1" applyFont="1" applyFill="1" applyBorder="1" applyAlignment="1">
      <alignment horizontal="center" vertical="center"/>
    </xf>
    <xf numFmtId="167" fontId="27" fillId="25" borderId="41" xfId="57" applyNumberFormat="1" applyFont="1" applyFill="1" applyBorder="1" applyAlignment="1">
      <alignment horizontal="center" vertical="center"/>
    </xf>
    <xf numFmtId="167" fontId="27" fillId="25" borderId="42" xfId="57" applyNumberFormat="1" applyFont="1" applyFill="1" applyBorder="1" applyAlignment="1">
      <alignment horizontal="center" vertical="center"/>
    </xf>
    <xf numFmtId="167" fontId="26" fillId="27" borderId="16" xfId="57" applyNumberFormat="1" applyFont="1" applyFill="1" applyBorder="1" applyAlignment="1">
      <alignment horizontal="center" vertical="center"/>
    </xf>
    <xf numFmtId="167" fontId="26" fillId="27" borderId="31" xfId="57" applyNumberFormat="1" applyFont="1" applyFill="1" applyBorder="1" applyAlignment="1">
      <alignment horizontal="center" vertical="center"/>
    </xf>
    <xf numFmtId="167" fontId="26" fillId="27" borderId="19" xfId="57" applyNumberFormat="1" applyFont="1" applyFill="1" applyBorder="1" applyAlignment="1">
      <alignment horizontal="center" vertical="center"/>
    </xf>
    <xf numFmtId="167" fontId="26" fillId="0" borderId="25" xfId="57" applyNumberFormat="1" applyFont="1" applyBorder="1" applyAlignment="1">
      <alignment horizontal="center" vertical="center"/>
    </xf>
    <xf numFmtId="167" fontId="26" fillId="0" borderId="12" xfId="57" applyNumberFormat="1" applyFont="1" applyBorder="1" applyAlignment="1">
      <alignment horizontal="center" vertical="center"/>
    </xf>
    <xf numFmtId="167" fontId="26" fillId="0" borderId="11" xfId="57" applyNumberFormat="1" applyFont="1" applyBorder="1" applyAlignment="1">
      <alignment horizontal="center" vertical="center"/>
    </xf>
    <xf numFmtId="167" fontId="26" fillId="0" borderId="14" xfId="57" applyNumberFormat="1" applyFont="1" applyBorder="1" applyAlignment="1">
      <alignment horizontal="center" vertical="center"/>
    </xf>
    <xf numFmtId="167" fontId="26" fillId="0" borderId="28" xfId="57" applyNumberFormat="1" applyFont="1" applyBorder="1" applyAlignment="1">
      <alignment horizontal="center" vertical="center"/>
    </xf>
    <xf numFmtId="167" fontId="26" fillId="0" borderId="17" xfId="57" applyNumberFormat="1" applyFont="1" applyBorder="1" applyAlignment="1">
      <alignment horizontal="center" vertical="center"/>
    </xf>
    <xf numFmtId="167" fontId="26" fillId="0" borderId="70" xfId="57" applyNumberFormat="1" applyFont="1" applyBorder="1" applyAlignment="1">
      <alignment horizontal="center" vertical="center"/>
    </xf>
    <xf numFmtId="167" fontId="26" fillId="0" borderId="55" xfId="57" applyNumberFormat="1" applyFont="1" applyBorder="1" applyAlignment="1">
      <alignment horizontal="center" vertical="center"/>
    </xf>
    <xf numFmtId="0" fontId="25" fillId="0" borderId="0" xfId="57" applyFont="1" applyAlignment="1">
      <alignment horizontal="left"/>
    </xf>
    <xf numFmtId="0" fontId="25" fillId="0" borderId="0" xfId="57" applyFont="1" applyAlignment="1">
      <alignment horizontal="center"/>
    </xf>
    <xf numFmtId="0" fontId="29" fillId="0" borderId="0" xfId="57" applyFont="1"/>
    <xf numFmtId="167" fontId="26" fillId="0" borderId="0" xfId="57" applyNumberFormat="1" applyFont="1" applyAlignment="1">
      <alignment horizontal="center" vertical="center"/>
    </xf>
    <xf numFmtId="0" fontId="37" fillId="0" borderId="0" xfId="57" applyFont="1"/>
    <xf numFmtId="167" fontId="26" fillId="31" borderId="0" xfId="57" applyNumberFormat="1" applyFont="1" applyFill="1"/>
    <xf numFmtId="1" fontId="25" fillId="0" borderId="0" xfId="57" applyNumberFormat="1" applyFont="1"/>
    <xf numFmtId="0" fontId="25" fillId="0" borderId="0" xfId="57" applyFont="1"/>
    <xf numFmtId="167" fontId="27" fillId="31" borderId="0" xfId="57" applyNumberFormat="1" applyFont="1" applyFill="1"/>
    <xf numFmtId="0" fontId="51" fillId="0" borderId="0" xfId="50" applyFont="1" applyAlignment="1">
      <alignment horizontal="center"/>
    </xf>
    <xf numFmtId="14" fontId="51" fillId="31" borderId="0" xfId="50" applyNumberFormat="1" applyFont="1" applyFill="1" applyAlignment="1">
      <alignment horizontal="center" vertical="center"/>
    </xf>
    <xf numFmtId="0" fontId="51" fillId="0" borderId="0" xfId="50" applyFont="1"/>
    <xf numFmtId="0" fontId="27" fillId="0" borderId="0" xfId="50" applyFont="1" applyAlignment="1">
      <alignment horizontal="center" vertical="center"/>
    </xf>
    <xf numFmtId="167" fontId="27" fillId="0" borderId="14" xfId="50" applyNumberFormat="1" applyFont="1" applyBorder="1" applyAlignment="1">
      <alignment horizontal="centerContinuous" vertical="center" wrapText="1"/>
    </xf>
    <xf numFmtId="167" fontId="27" fillId="0" borderId="24" xfId="50" applyNumberFormat="1" applyFont="1" applyBorder="1" applyAlignment="1">
      <alignment horizontal="center" vertical="center" textRotation="90"/>
    </xf>
    <xf numFmtId="167" fontId="27" fillId="0" borderId="24" xfId="50" applyNumberFormat="1" applyFont="1" applyBorder="1" applyAlignment="1">
      <alignment horizontal="center" vertical="center" textRotation="90" wrapText="1"/>
    </xf>
    <xf numFmtId="0" fontId="27" fillId="25" borderId="57" xfId="50" applyFont="1" applyFill="1" applyBorder="1" applyAlignment="1">
      <alignment horizontal="center" vertical="center" wrapText="1"/>
    </xf>
    <xf numFmtId="0" fontId="27" fillId="25" borderId="82" xfId="50" applyFont="1" applyFill="1" applyBorder="1" applyAlignment="1">
      <alignment horizontal="center" vertical="center" wrapText="1"/>
    </xf>
    <xf numFmtId="0" fontId="27" fillId="24" borderId="26" xfId="50" applyFont="1" applyFill="1" applyBorder="1" applyAlignment="1">
      <alignment horizontal="center" vertical="center" wrapText="1"/>
    </xf>
    <xf numFmtId="0" fontId="27" fillId="0" borderId="72" xfId="50" applyFont="1" applyBorder="1" applyAlignment="1">
      <alignment vertical="center"/>
    </xf>
    <xf numFmtId="0" fontId="27" fillId="0" borderId="62" xfId="50" applyFont="1" applyBorder="1" applyAlignment="1">
      <alignment horizontal="center" vertical="center"/>
    </xf>
    <xf numFmtId="167" fontId="27" fillId="0" borderId="58" xfId="50" applyNumberFormat="1" applyFont="1" applyBorder="1" applyAlignment="1">
      <alignment horizontal="center" vertical="center"/>
    </xf>
    <xf numFmtId="167" fontId="27" fillId="0" borderId="59" xfId="50" applyNumberFormat="1" applyFont="1" applyBorder="1" applyAlignment="1">
      <alignment horizontal="center" vertical="center"/>
    </xf>
    <xf numFmtId="167" fontId="27" fillId="0" borderId="23" xfId="50" applyNumberFormat="1" applyFont="1" applyBorder="1" applyAlignment="1">
      <alignment horizontal="center" vertical="center"/>
    </xf>
    <xf numFmtId="0" fontId="27" fillId="0" borderId="22" xfId="50" applyFont="1" applyBorder="1" applyAlignment="1">
      <alignment horizontal="center"/>
    </xf>
    <xf numFmtId="167" fontId="27" fillId="28" borderId="38" xfId="50" applyNumberFormat="1" applyFont="1" applyFill="1" applyBorder="1" applyAlignment="1">
      <alignment horizontal="center" vertical="center"/>
    </xf>
    <xf numFmtId="167" fontId="27" fillId="28" borderId="42" xfId="50" applyNumberFormat="1" applyFont="1" applyFill="1" applyBorder="1" applyAlignment="1">
      <alignment horizontal="center" vertical="center"/>
    </xf>
    <xf numFmtId="167" fontId="27" fillId="28" borderId="43" xfId="50" applyNumberFormat="1" applyFont="1" applyFill="1" applyBorder="1" applyAlignment="1">
      <alignment horizontal="center" vertical="center"/>
    </xf>
    <xf numFmtId="0" fontId="27" fillId="0" borderId="72" xfId="50" applyFont="1" applyBorder="1" applyAlignment="1">
      <alignment horizontal="center" vertical="center"/>
    </xf>
    <xf numFmtId="0" fontId="27" fillId="0" borderId="62" xfId="50" applyFont="1" applyBorder="1" applyAlignment="1">
      <alignment horizontal="center" vertical="center" wrapText="1"/>
    </xf>
    <xf numFmtId="0" fontId="27" fillId="25" borderId="58" xfId="50" applyFont="1" applyFill="1" applyBorder="1" applyAlignment="1">
      <alignment horizontal="center" vertical="center"/>
    </xf>
    <xf numFmtId="0" fontId="27" fillId="24" borderId="59" xfId="50" applyFont="1" applyFill="1" applyBorder="1" applyAlignment="1">
      <alignment horizontal="center" vertical="center"/>
    </xf>
    <xf numFmtId="49" fontId="27" fillId="0" borderId="17" xfId="46" applyNumberFormat="1" applyFont="1" applyBorder="1" applyAlignment="1">
      <alignment vertical="center"/>
    </xf>
    <xf numFmtId="0" fontId="27" fillId="0" borderId="31" xfId="46" applyFont="1" applyBorder="1" applyAlignment="1">
      <alignment vertical="center"/>
    </xf>
    <xf numFmtId="167" fontId="36" fillId="0" borderId="25" xfId="46" applyNumberFormat="1" applyFont="1" applyBorder="1" applyAlignment="1">
      <alignment horizontal="center" vertical="center"/>
    </xf>
    <xf numFmtId="0" fontId="27" fillId="0" borderId="25" xfId="46" applyFont="1" applyBorder="1"/>
    <xf numFmtId="0" fontId="27" fillId="0" borderId="12" xfId="46" applyFont="1" applyBorder="1"/>
    <xf numFmtId="0" fontId="27" fillId="25" borderId="58" xfId="50" applyFont="1" applyFill="1" applyBorder="1" applyAlignment="1">
      <alignment vertical="center"/>
    </xf>
    <xf numFmtId="0" fontId="27" fillId="24" borderId="59" xfId="50" applyFont="1" applyFill="1" applyBorder="1" applyAlignment="1">
      <alignment vertical="center"/>
    </xf>
    <xf numFmtId="0" fontId="27" fillId="0" borderId="59" xfId="50" applyFont="1" applyBorder="1" applyAlignment="1">
      <alignment vertical="center"/>
    </xf>
    <xf numFmtId="167" fontId="27" fillId="0" borderId="48" xfId="50" applyNumberFormat="1" applyFont="1" applyBorder="1" applyAlignment="1">
      <alignment horizontal="center" vertical="center"/>
    </xf>
    <xf numFmtId="167" fontId="27" fillId="0" borderId="29" xfId="50" applyNumberFormat="1" applyFont="1" applyBorder="1" applyAlignment="1">
      <alignment horizontal="center" vertical="center"/>
    </xf>
    <xf numFmtId="167" fontId="27" fillId="0" borderId="34" xfId="50" applyNumberFormat="1" applyFont="1" applyBorder="1" applyAlignment="1">
      <alignment horizontal="center" vertical="center"/>
    </xf>
    <xf numFmtId="167" fontId="27" fillId="0" borderId="70" xfId="50" applyNumberFormat="1" applyFont="1" applyBorder="1" applyAlignment="1">
      <alignment horizontal="center" vertical="center"/>
    </xf>
    <xf numFmtId="167" fontId="27" fillId="0" borderId="55" xfId="50" applyNumberFormat="1" applyFont="1" applyBorder="1" applyAlignment="1">
      <alignment horizontal="center" vertical="center"/>
    </xf>
    <xf numFmtId="167" fontId="27" fillId="0" borderId="71" xfId="50" applyNumberFormat="1" applyFont="1" applyBorder="1" applyAlignment="1">
      <alignment horizontal="center" vertical="center"/>
    </xf>
    <xf numFmtId="0" fontId="27" fillId="25" borderId="16" xfId="50" applyFont="1" applyFill="1" applyBorder="1" applyAlignment="1">
      <alignment vertical="center"/>
    </xf>
    <xf numFmtId="0" fontId="27" fillId="24" borderId="31" xfId="50" applyFont="1" applyFill="1" applyBorder="1" applyAlignment="1">
      <alignment vertical="center"/>
    </xf>
    <xf numFmtId="0" fontId="27" fillId="25" borderId="11" xfId="50" applyFont="1" applyFill="1" applyBorder="1" applyAlignment="1">
      <alignment horizontal="center" vertical="center" wrapText="1"/>
    </xf>
    <xf numFmtId="0" fontId="27" fillId="24" borderId="10" xfId="50" applyFont="1" applyFill="1" applyBorder="1" applyAlignment="1">
      <alignment horizontal="center" vertical="center" wrapText="1"/>
    </xf>
    <xf numFmtId="167" fontId="27" fillId="24" borderId="38" xfId="50" applyNumberFormat="1" applyFont="1" applyFill="1" applyBorder="1" applyAlignment="1">
      <alignment horizontal="center" vertical="center"/>
    </xf>
    <xf numFmtId="167" fontId="27" fillId="24" borderId="77" xfId="50" applyNumberFormat="1" applyFont="1" applyFill="1" applyBorder="1" applyAlignment="1">
      <alignment horizontal="center" vertical="center"/>
    </xf>
    <xf numFmtId="0" fontId="27" fillId="0" borderId="19" xfId="50" applyFont="1" applyBorder="1" applyAlignment="1">
      <alignment horizontal="center" vertical="center"/>
    </xf>
    <xf numFmtId="167" fontId="27" fillId="0" borderId="16" xfId="50" applyNumberFormat="1" applyFont="1" applyBorder="1" applyAlignment="1">
      <alignment horizontal="center" vertical="center"/>
    </xf>
    <xf numFmtId="167" fontId="27" fillId="0" borderId="31" xfId="50" applyNumberFormat="1" applyFont="1" applyBorder="1" applyAlignment="1">
      <alignment horizontal="center" vertical="center"/>
    </xf>
    <xf numFmtId="167" fontId="27" fillId="0" borderId="19" xfId="50" applyNumberFormat="1" applyFont="1" applyBorder="1" applyAlignment="1">
      <alignment horizontal="center" vertical="center"/>
    </xf>
    <xf numFmtId="0" fontId="27" fillId="0" borderId="71" xfId="50" applyFont="1" applyBorder="1" applyAlignment="1">
      <alignment horizontal="center" vertical="center"/>
    </xf>
    <xf numFmtId="167" fontId="26" fillId="0" borderId="23" xfId="50" applyNumberFormat="1" applyFont="1" applyBorder="1" applyAlignment="1">
      <alignment horizontal="center" vertical="center"/>
    </xf>
    <xf numFmtId="167" fontId="27" fillId="28" borderId="41" xfId="50" applyNumberFormat="1" applyFont="1" applyFill="1" applyBorder="1" applyAlignment="1">
      <alignment horizontal="center" vertical="center"/>
    </xf>
    <xf numFmtId="0" fontId="27" fillId="0" borderId="13" xfId="50" applyFont="1" applyBorder="1" applyAlignment="1">
      <alignment horizontal="center" vertical="center"/>
    </xf>
    <xf numFmtId="167" fontId="27" fillId="0" borderId="12" xfId="50" applyNumberFormat="1" applyFont="1" applyBorder="1" applyAlignment="1">
      <alignment horizontal="center" vertical="center"/>
    </xf>
    <xf numFmtId="167" fontId="27" fillId="0" borderId="26" xfId="50" applyNumberFormat="1" applyFont="1" applyBorder="1" applyAlignment="1">
      <alignment horizontal="center" vertical="center"/>
    </xf>
    <xf numFmtId="167" fontId="27" fillId="28" borderId="56" xfId="50" applyNumberFormat="1" applyFont="1" applyFill="1" applyBorder="1" applyAlignment="1">
      <alignment horizontal="center" vertical="center"/>
    </xf>
    <xf numFmtId="0" fontId="27" fillId="0" borderId="22" xfId="50" applyFont="1" applyBorder="1"/>
    <xf numFmtId="0" fontId="27" fillId="0" borderId="26" xfId="50" applyFont="1" applyBorder="1" applyAlignment="1">
      <alignment horizontal="center" vertical="center" wrapText="1"/>
    </xf>
    <xf numFmtId="167" fontId="27" fillId="0" borderId="25" xfId="50" applyNumberFormat="1" applyFont="1" applyBorder="1" applyAlignment="1">
      <alignment horizontal="center" vertical="center"/>
    </xf>
    <xf numFmtId="0" fontId="27" fillId="0" borderId="10" xfId="50" applyFont="1" applyBorder="1" applyAlignment="1">
      <alignment horizontal="center" vertical="center" wrapText="1"/>
    </xf>
    <xf numFmtId="0" fontId="27" fillId="0" borderId="71" xfId="50" applyFont="1" applyBorder="1" applyAlignment="1">
      <alignment horizontal="center" vertical="center" wrapText="1"/>
    </xf>
    <xf numFmtId="167" fontId="27" fillId="32" borderId="41" xfId="50" applyNumberFormat="1" applyFont="1" applyFill="1" applyBorder="1" applyAlignment="1">
      <alignment horizontal="center" vertical="center"/>
    </xf>
    <xf numFmtId="0" fontId="27" fillId="0" borderId="28" xfId="50" applyFont="1" applyBorder="1" applyAlignment="1">
      <alignment horizontal="center" vertical="center"/>
    </xf>
    <xf numFmtId="167" fontId="27" fillId="0" borderId="14" xfId="50" applyNumberFormat="1" applyFont="1" applyBorder="1" applyAlignment="1">
      <alignment horizontal="center" vertical="center"/>
    </xf>
    <xf numFmtId="167" fontId="27" fillId="0" borderId="28" xfId="50" applyNumberFormat="1" applyFont="1" applyBorder="1" applyAlignment="1">
      <alignment horizontal="center" vertical="center"/>
    </xf>
    <xf numFmtId="0" fontId="27" fillId="0" borderId="28" xfId="50" applyFont="1" applyBorder="1" applyAlignment="1">
      <alignment horizontal="center"/>
    </xf>
    <xf numFmtId="0" fontId="27" fillId="0" borderId="19" xfId="50" applyFont="1" applyBorder="1" applyAlignment="1">
      <alignment horizontal="center" vertical="center" wrapText="1"/>
    </xf>
    <xf numFmtId="0" fontId="27" fillId="0" borderId="34" xfId="50" applyFont="1" applyBorder="1" applyAlignment="1">
      <alignment horizontal="center" vertical="center" wrapText="1"/>
    </xf>
    <xf numFmtId="167" fontId="27" fillId="31" borderId="69" xfId="50" applyNumberFormat="1" applyFont="1" applyFill="1" applyBorder="1" applyAlignment="1">
      <alignment horizontal="center" vertical="center"/>
    </xf>
    <xf numFmtId="167" fontId="27" fillId="31" borderId="24" xfId="50" applyNumberFormat="1" applyFont="1" applyFill="1" applyBorder="1" applyAlignment="1">
      <alignment horizontal="center" vertical="center"/>
    </xf>
    <xf numFmtId="167" fontId="27" fillId="0" borderId="24" xfId="50" applyNumberFormat="1" applyFont="1" applyBorder="1" applyAlignment="1">
      <alignment horizontal="center" vertical="center"/>
    </xf>
    <xf numFmtId="167" fontId="27" fillId="0" borderId="20" xfId="50" applyNumberFormat="1" applyFont="1" applyBorder="1" applyAlignment="1">
      <alignment horizontal="center" vertical="center"/>
    </xf>
    <xf numFmtId="167" fontId="27" fillId="0" borderId="69" xfId="50" applyNumberFormat="1" applyFont="1" applyBorder="1" applyAlignment="1">
      <alignment horizontal="center" vertical="center"/>
    </xf>
    <xf numFmtId="167" fontId="27" fillId="28" borderId="54" xfId="50" applyNumberFormat="1" applyFont="1" applyFill="1" applyBorder="1" applyAlignment="1">
      <alignment horizontal="center" vertical="center"/>
    </xf>
    <xf numFmtId="167" fontId="27" fillId="28" borderId="39" xfId="50" applyNumberFormat="1" applyFont="1" applyFill="1" applyBorder="1" applyAlignment="1">
      <alignment horizontal="center" vertical="center"/>
    </xf>
    <xf numFmtId="167" fontId="27" fillId="32" borderId="43" xfId="50" applyNumberFormat="1" applyFont="1" applyFill="1" applyBorder="1" applyAlignment="1">
      <alignment horizontal="center" vertical="center"/>
    </xf>
    <xf numFmtId="0" fontId="27" fillId="0" borderId="20" xfId="50" applyFont="1" applyBorder="1" applyAlignment="1">
      <alignment horizontal="center" vertical="center" wrapText="1"/>
    </xf>
    <xf numFmtId="167" fontId="27" fillId="28" borderId="40" xfId="50" applyNumberFormat="1" applyFont="1" applyFill="1" applyBorder="1" applyAlignment="1">
      <alignment horizontal="center" vertical="center"/>
    </xf>
    <xf numFmtId="0" fontId="27" fillId="0" borderId="59" xfId="50" applyFont="1" applyBorder="1" applyAlignment="1">
      <alignment horizontal="right" vertical="center" wrapText="1"/>
    </xf>
    <xf numFmtId="0" fontId="27" fillId="0" borderId="43" xfId="50" applyFont="1" applyBorder="1" applyAlignment="1">
      <alignment horizontal="center" vertical="center" wrapText="1"/>
    </xf>
    <xf numFmtId="167" fontId="27" fillId="0" borderId="72" xfId="50" applyNumberFormat="1" applyFont="1" applyBorder="1" applyAlignment="1">
      <alignment horizontal="center" vertical="center"/>
    </xf>
    <xf numFmtId="167" fontId="27" fillId="0" borderId="62" xfId="50" applyNumberFormat="1" applyFont="1" applyBorder="1" applyAlignment="1">
      <alignment horizontal="center" vertical="center"/>
    </xf>
    <xf numFmtId="0" fontId="27" fillId="0" borderId="10" xfId="5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167" fontId="27" fillId="0" borderId="32" xfId="50" applyNumberFormat="1" applyFont="1" applyBorder="1" applyAlignment="1">
      <alignment horizontal="center" vertical="center"/>
    </xf>
    <xf numFmtId="167" fontId="27" fillId="0" borderId="33" xfId="50" applyNumberFormat="1" applyFont="1" applyBorder="1" applyAlignment="1">
      <alignment horizontal="center" vertical="center"/>
    </xf>
    <xf numFmtId="0" fontId="27" fillId="0" borderId="20" xfId="5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167" fontId="27" fillId="0" borderId="64" xfId="50" applyNumberFormat="1" applyFont="1" applyBorder="1" applyAlignment="1">
      <alignment horizontal="center" vertical="center"/>
    </xf>
    <xf numFmtId="167" fontId="27" fillId="0" borderId="51" xfId="50" applyNumberFormat="1" applyFont="1" applyBorder="1" applyAlignment="1">
      <alignment horizontal="center" vertical="center"/>
    </xf>
    <xf numFmtId="167" fontId="27" fillId="28" borderId="49" xfId="50" applyNumberFormat="1" applyFont="1" applyFill="1" applyBorder="1" applyAlignment="1">
      <alignment horizontal="center" vertical="center"/>
    </xf>
    <xf numFmtId="167" fontId="27" fillId="28" borderId="13" xfId="50" applyNumberFormat="1" applyFont="1" applyFill="1" applyBorder="1" applyAlignment="1">
      <alignment horizontal="center" vertical="center"/>
    </xf>
    <xf numFmtId="167" fontId="27" fillId="28" borderId="50" xfId="50" applyNumberFormat="1" applyFont="1" applyFill="1" applyBorder="1" applyAlignment="1">
      <alignment horizontal="center" vertical="center"/>
    </xf>
    <xf numFmtId="167" fontId="27" fillId="0" borderId="11" xfId="50" applyNumberFormat="1" applyFont="1" applyBorder="1" applyAlignment="1">
      <alignment horizontal="center" vertical="center"/>
    </xf>
    <xf numFmtId="0" fontId="27" fillId="0" borderId="17" xfId="50" applyFont="1" applyBorder="1" applyAlignment="1">
      <alignment horizontal="center" vertical="center" wrapText="1"/>
    </xf>
    <xf numFmtId="4" fontId="27" fillId="0" borderId="14" xfId="50" applyNumberFormat="1" applyFont="1" applyBorder="1" applyAlignment="1">
      <alignment horizontal="center" vertical="center"/>
    </xf>
    <xf numFmtId="0" fontId="27" fillId="0" borderId="45" xfId="50" applyFont="1" applyBorder="1" applyAlignment="1">
      <alignment horizontal="center" vertical="center" wrapText="1"/>
    </xf>
    <xf numFmtId="167" fontId="27" fillId="0" borderId="15" xfId="50" applyNumberFormat="1" applyFont="1" applyBorder="1" applyAlignment="1">
      <alignment horizontal="center" vertical="center"/>
    </xf>
    <xf numFmtId="0" fontId="27" fillId="31" borderId="45" xfId="50" applyFont="1" applyFill="1" applyBorder="1" applyAlignment="1">
      <alignment horizontal="center" vertical="center" wrapText="1"/>
    </xf>
    <xf numFmtId="49" fontId="27" fillId="0" borderId="62" xfId="50" applyNumberFormat="1" applyFont="1" applyBorder="1" applyAlignment="1">
      <alignment vertical="center"/>
    </xf>
    <xf numFmtId="167" fontId="27" fillId="28" borderId="63" xfId="50" applyNumberFormat="1" applyFont="1" applyFill="1" applyBorder="1" applyAlignment="1">
      <alignment horizontal="center" vertical="center"/>
    </xf>
    <xf numFmtId="167" fontId="27" fillId="28" borderId="55" xfId="50" applyNumberFormat="1" applyFont="1" applyFill="1" applyBorder="1" applyAlignment="1">
      <alignment horizontal="center" vertical="center"/>
    </xf>
    <xf numFmtId="167" fontId="27" fillId="28" borderId="64" xfId="50" applyNumberFormat="1" applyFont="1" applyFill="1" applyBorder="1" applyAlignment="1">
      <alignment horizontal="center" vertical="center"/>
    </xf>
    <xf numFmtId="167" fontId="27" fillId="28" borderId="51" xfId="50" applyNumberFormat="1" applyFont="1" applyFill="1" applyBorder="1" applyAlignment="1">
      <alignment horizontal="center" vertical="center"/>
    </xf>
    <xf numFmtId="0" fontId="27" fillId="24" borderId="19" xfId="50" applyFont="1" applyFill="1" applyBorder="1" applyAlignment="1">
      <alignment horizontal="center" vertical="center"/>
    </xf>
    <xf numFmtId="167" fontId="27" fillId="24" borderId="42" xfId="50" applyNumberFormat="1" applyFont="1" applyFill="1" applyBorder="1" applyAlignment="1">
      <alignment horizontal="center" vertical="center"/>
    </xf>
    <xf numFmtId="167" fontId="27" fillId="24" borderId="39" xfId="50" applyNumberFormat="1" applyFont="1" applyFill="1" applyBorder="1" applyAlignment="1">
      <alignment horizontal="center" vertical="center"/>
    </xf>
    <xf numFmtId="167" fontId="27" fillId="32" borderId="38" xfId="50" applyNumberFormat="1" applyFont="1" applyFill="1" applyBorder="1" applyAlignment="1">
      <alignment horizontal="center" vertical="center"/>
    </xf>
    <xf numFmtId="167" fontId="27" fillId="32" borderId="42" xfId="50" applyNumberFormat="1" applyFont="1" applyFill="1" applyBorder="1" applyAlignment="1">
      <alignment horizontal="center" vertical="center"/>
    </xf>
    <xf numFmtId="0" fontId="27" fillId="0" borderId="35" xfId="50" applyFont="1" applyBorder="1" applyAlignment="1">
      <alignment horizontal="center" vertical="center"/>
    </xf>
    <xf numFmtId="167" fontId="27" fillId="0" borderId="27" xfId="50" applyNumberFormat="1" applyFont="1" applyBorder="1" applyAlignment="1">
      <alignment horizontal="center" vertical="center"/>
    </xf>
    <xf numFmtId="167" fontId="27" fillId="0" borderId="79" xfId="50" applyNumberFormat="1" applyFont="1" applyBorder="1" applyAlignment="1">
      <alignment horizontal="center" vertical="center"/>
    </xf>
    <xf numFmtId="0" fontId="27" fillId="31" borderId="62" xfId="50" applyFont="1" applyFill="1" applyBorder="1" applyAlignment="1">
      <alignment horizontal="center" vertical="center" wrapText="1"/>
    </xf>
    <xf numFmtId="167" fontId="27" fillId="31" borderId="11" xfId="50" applyNumberFormat="1" applyFont="1" applyFill="1" applyBorder="1" applyAlignment="1">
      <alignment horizontal="center" vertical="center"/>
    </xf>
    <xf numFmtId="167" fontId="27" fillId="31" borderId="46" xfId="50" applyNumberFormat="1" applyFont="1" applyFill="1" applyBorder="1" applyAlignment="1">
      <alignment horizontal="center" vertical="center"/>
    </xf>
    <xf numFmtId="167" fontId="27" fillId="31" borderId="36" xfId="50" applyNumberFormat="1" applyFont="1" applyFill="1" applyBorder="1" applyAlignment="1">
      <alignment horizontal="center" vertical="center"/>
    </xf>
    <xf numFmtId="167" fontId="27" fillId="0" borderId="46" xfId="50" applyNumberFormat="1" applyFont="1" applyBorder="1" applyAlignment="1">
      <alignment horizontal="center" vertical="center"/>
    </xf>
    <xf numFmtId="167" fontId="27" fillId="0" borderId="17" xfId="50" applyNumberFormat="1" applyFont="1" applyBorder="1" applyAlignment="1">
      <alignment horizontal="center" vertical="center"/>
    </xf>
    <xf numFmtId="167" fontId="27" fillId="0" borderId="47" xfId="50" applyNumberFormat="1" applyFont="1" applyBorder="1" applyAlignment="1">
      <alignment horizontal="center" vertical="center"/>
    </xf>
    <xf numFmtId="0" fontId="27" fillId="0" borderId="0" xfId="50" applyFont="1" applyAlignment="1">
      <alignment horizontal="center"/>
    </xf>
    <xf numFmtId="0" fontId="27" fillId="0" borderId="34" xfId="50" applyFont="1" applyBorder="1" applyAlignment="1">
      <alignment horizontal="center" vertical="center"/>
    </xf>
    <xf numFmtId="167" fontId="27" fillId="0" borderId="76" xfId="50" applyNumberFormat="1" applyFont="1" applyBorder="1" applyAlignment="1">
      <alignment horizontal="center" vertical="center"/>
    </xf>
    <xf numFmtId="167" fontId="27" fillId="0" borderId="78" xfId="50" applyNumberFormat="1" applyFont="1" applyBorder="1" applyAlignment="1">
      <alignment horizontal="center" vertical="center"/>
    </xf>
    <xf numFmtId="167" fontId="27" fillId="32" borderId="39" xfId="50" applyNumberFormat="1" applyFont="1" applyFill="1" applyBorder="1" applyAlignment="1">
      <alignment horizontal="center" vertical="center"/>
    </xf>
    <xf numFmtId="167" fontId="27" fillId="32" borderId="54" xfId="50" applyNumberFormat="1" applyFont="1" applyFill="1" applyBorder="1" applyAlignment="1">
      <alignment horizontal="center" vertical="center"/>
    </xf>
    <xf numFmtId="167" fontId="27" fillId="32" borderId="56" xfId="50" applyNumberFormat="1" applyFont="1" applyFill="1" applyBorder="1" applyAlignment="1">
      <alignment horizontal="center" vertical="center"/>
    </xf>
    <xf numFmtId="167" fontId="27" fillId="31" borderId="12" xfId="50" applyNumberFormat="1" applyFont="1" applyFill="1" applyBorder="1" applyAlignment="1">
      <alignment horizontal="center" vertical="center"/>
    </xf>
    <xf numFmtId="167" fontId="27" fillId="31" borderId="25" xfId="50" applyNumberFormat="1" applyFont="1" applyFill="1" applyBorder="1" applyAlignment="1">
      <alignment horizontal="center" vertical="center"/>
    </xf>
    <xf numFmtId="167" fontId="27" fillId="31" borderId="26" xfId="50" applyNumberFormat="1" applyFont="1" applyFill="1" applyBorder="1" applyAlignment="1">
      <alignment horizontal="center" vertical="center"/>
    </xf>
    <xf numFmtId="167" fontId="27" fillId="0" borderId="25" xfId="50" applyNumberFormat="1" applyFont="1" applyBorder="1" applyAlignment="1">
      <alignment vertical="center" wrapText="1"/>
    </xf>
    <xf numFmtId="167" fontId="27" fillId="0" borderId="27" xfId="50" applyNumberFormat="1" applyFont="1" applyBorder="1" applyAlignment="1">
      <alignment vertical="center" wrapText="1"/>
    </xf>
    <xf numFmtId="167" fontId="27" fillId="0" borderId="79" xfId="50" applyNumberFormat="1" applyFont="1" applyBorder="1" applyAlignment="1">
      <alignment vertical="center" wrapText="1"/>
    </xf>
    <xf numFmtId="167" fontId="27" fillId="31" borderId="70" xfId="50" applyNumberFormat="1" applyFont="1" applyFill="1" applyBorder="1" applyAlignment="1">
      <alignment horizontal="center" vertical="center"/>
    </xf>
    <xf numFmtId="167" fontId="27" fillId="31" borderId="55" xfId="50" applyNumberFormat="1" applyFont="1" applyFill="1" applyBorder="1" applyAlignment="1">
      <alignment horizontal="center" vertical="center"/>
    </xf>
    <xf numFmtId="167" fontId="27" fillId="31" borderId="74" xfId="50" applyNumberFormat="1" applyFont="1" applyFill="1" applyBorder="1" applyAlignment="1">
      <alignment horizontal="center" vertical="center"/>
    </xf>
    <xf numFmtId="167" fontId="27" fillId="0" borderId="70" xfId="50" applyNumberFormat="1" applyFont="1" applyBorder="1" applyAlignment="1">
      <alignment vertical="center" wrapText="1"/>
    </xf>
    <xf numFmtId="167" fontId="27" fillId="0" borderId="37" xfId="50" applyNumberFormat="1" applyFont="1" applyBorder="1" applyAlignment="1">
      <alignment vertical="center" wrapText="1"/>
    </xf>
    <xf numFmtId="167" fontId="27" fillId="0" borderId="51" xfId="50" applyNumberFormat="1" applyFont="1" applyBorder="1" applyAlignment="1">
      <alignment vertical="center" wrapText="1"/>
    </xf>
    <xf numFmtId="167" fontId="27" fillId="32" borderId="59" xfId="50" applyNumberFormat="1" applyFont="1" applyFill="1" applyBorder="1" applyAlignment="1">
      <alignment horizontal="center" vertical="center"/>
    </xf>
    <xf numFmtId="167" fontId="27" fillId="32" borderId="62" xfId="50" applyNumberFormat="1" applyFont="1" applyFill="1" applyBorder="1" applyAlignment="1">
      <alignment horizontal="center" vertical="center"/>
    </xf>
    <xf numFmtId="167" fontId="27" fillId="32" borderId="70" xfId="50" applyNumberFormat="1" applyFont="1" applyFill="1" applyBorder="1" applyAlignment="1">
      <alignment horizontal="center" vertical="center"/>
    </xf>
    <xf numFmtId="167" fontId="27" fillId="32" borderId="23" xfId="50" applyNumberFormat="1" applyFont="1" applyFill="1" applyBorder="1" applyAlignment="1">
      <alignment horizontal="center" vertical="center"/>
    </xf>
    <xf numFmtId="0" fontId="27" fillId="0" borderId="14" xfId="50" applyFont="1" applyBorder="1" applyAlignment="1">
      <alignment horizontal="right" vertical="center" wrapText="1"/>
    </xf>
    <xf numFmtId="167" fontId="27" fillId="0" borderId="13" xfId="50" applyNumberFormat="1" applyFont="1" applyBorder="1" applyAlignment="1">
      <alignment horizontal="center" vertical="center"/>
    </xf>
    <xf numFmtId="167" fontId="27" fillId="0" borderId="44" xfId="50" applyNumberFormat="1" applyFont="1" applyBorder="1" applyAlignment="1">
      <alignment horizontal="center" vertical="center"/>
    </xf>
    <xf numFmtId="167" fontId="27" fillId="0" borderId="41" xfId="50" applyNumberFormat="1" applyFont="1" applyBorder="1" applyAlignment="1">
      <alignment horizontal="center" vertical="center"/>
    </xf>
    <xf numFmtId="167" fontId="27" fillId="0" borderId="42" xfId="50" applyNumberFormat="1" applyFont="1" applyBorder="1" applyAlignment="1">
      <alignment horizontal="center" vertical="center"/>
    </xf>
    <xf numFmtId="167" fontId="27" fillId="0" borderId="43" xfId="50" applyNumberFormat="1" applyFont="1" applyBorder="1" applyAlignment="1">
      <alignment horizontal="center" vertical="center"/>
    </xf>
    <xf numFmtId="0" fontId="27" fillId="0" borderId="23" xfId="50" applyFont="1" applyBorder="1" applyAlignment="1">
      <alignment horizontal="center" vertical="center"/>
    </xf>
    <xf numFmtId="167" fontId="27" fillId="0" borderId="38" xfId="50" applyNumberFormat="1" applyFont="1" applyBorder="1" applyAlignment="1">
      <alignment horizontal="center" vertical="center"/>
    </xf>
    <xf numFmtId="167" fontId="27" fillId="0" borderId="56" xfId="50" applyNumberFormat="1" applyFont="1" applyBorder="1" applyAlignment="1">
      <alignment horizontal="center" vertical="center"/>
    </xf>
    <xf numFmtId="167" fontId="27" fillId="0" borderId="40" xfId="50" applyNumberFormat="1" applyFont="1" applyBorder="1" applyAlignment="1">
      <alignment horizontal="center" vertical="center"/>
    </xf>
    <xf numFmtId="0" fontId="27" fillId="0" borderId="23" xfId="50" applyFont="1" applyBorder="1" applyAlignment="1">
      <alignment horizontal="center" vertical="center" wrapText="1"/>
    </xf>
    <xf numFmtId="0" fontId="27" fillId="25" borderId="11" xfId="50" applyFont="1" applyFill="1" applyBorder="1" applyAlignment="1">
      <alignment horizontal="center" vertical="center"/>
    </xf>
    <xf numFmtId="0" fontId="27" fillId="24" borderId="17" xfId="50" applyFont="1" applyFill="1" applyBorder="1" applyAlignment="1">
      <alignment horizontal="center" vertical="center"/>
    </xf>
    <xf numFmtId="167" fontId="27" fillId="25" borderId="54" xfId="50" applyNumberFormat="1" applyFont="1" applyFill="1" applyBorder="1" applyAlignment="1">
      <alignment horizontal="center" vertical="center"/>
    </xf>
    <xf numFmtId="165" fontId="27" fillId="25" borderId="54" xfId="50" applyNumberFormat="1" applyFont="1" applyFill="1" applyBorder="1" applyAlignment="1">
      <alignment horizontal="center" vertical="center"/>
    </xf>
    <xf numFmtId="167" fontId="27" fillId="25" borderId="43" xfId="50" applyNumberFormat="1" applyFont="1" applyFill="1" applyBorder="1" applyAlignment="1">
      <alignment horizontal="center" vertical="center"/>
    </xf>
    <xf numFmtId="167" fontId="27" fillId="25" borderId="52" xfId="50" applyNumberFormat="1" applyFont="1" applyFill="1" applyBorder="1" applyAlignment="1">
      <alignment horizontal="center" vertical="center"/>
    </xf>
    <xf numFmtId="167" fontId="27" fillId="25" borderId="41" xfId="50" applyNumberFormat="1" applyFont="1" applyFill="1" applyBorder="1" applyAlignment="1">
      <alignment horizontal="center" vertical="center"/>
    </xf>
    <xf numFmtId="167" fontId="27" fillId="25" borderId="39" xfId="50" applyNumberFormat="1" applyFont="1" applyFill="1" applyBorder="1" applyAlignment="1">
      <alignment horizontal="center" vertical="center"/>
    </xf>
    <xf numFmtId="167" fontId="26" fillId="29" borderId="53" xfId="50" applyNumberFormat="1" applyFont="1" applyFill="1" applyBorder="1" applyAlignment="1">
      <alignment horizontal="center" vertical="center"/>
    </xf>
    <xf numFmtId="167" fontId="26" fillId="0" borderId="25" xfId="50" applyNumberFormat="1" applyFont="1" applyBorder="1" applyAlignment="1">
      <alignment horizontal="center" vertical="center"/>
    </xf>
    <xf numFmtId="167" fontId="26" fillId="0" borderId="12" xfId="50" applyNumberFormat="1" applyFont="1" applyBorder="1" applyAlignment="1">
      <alignment horizontal="center" vertical="center"/>
    </xf>
    <xf numFmtId="167" fontId="26" fillId="0" borderId="11" xfId="50" applyNumberFormat="1" applyFont="1" applyBorder="1" applyAlignment="1">
      <alignment horizontal="center" vertical="center"/>
    </xf>
    <xf numFmtId="167" fontId="26" fillId="0" borderId="14" xfId="50" applyNumberFormat="1" applyFont="1" applyBorder="1" applyAlignment="1">
      <alignment horizontal="center" vertical="center"/>
    </xf>
    <xf numFmtId="167" fontId="26" fillId="0" borderId="17" xfId="50" applyNumberFormat="1" applyFont="1" applyBorder="1" applyAlignment="1">
      <alignment horizontal="center" vertical="center"/>
    </xf>
    <xf numFmtId="167" fontId="26" fillId="0" borderId="28" xfId="50" applyNumberFormat="1" applyFont="1" applyBorder="1" applyAlignment="1">
      <alignment horizontal="center" vertical="center"/>
    </xf>
    <xf numFmtId="165" fontId="25" fillId="0" borderId="0" xfId="50" applyNumberFormat="1" applyFont="1" applyAlignment="1">
      <alignment horizontal="center" vertical="center"/>
    </xf>
    <xf numFmtId="167" fontId="26" fillId="0" borderId="15" xfId="50" applyNumberFormat="1" applyFont="1" applyBorder="1" applyAlignment="1">
      <alignment horizontal="center" vertical="center"/>
    </xf>
    <xf numFmtId="167" fontId="26" fillId="0" borderId="24" xfId="50" applyNumberFormat="1" applyFont="1" applyBorder="1" applyAlignment="1">
      <alignment horizontal="center" vertical="center"/>
    </xf>
    <xf numFmtId="167" fontId="26" fillId="0" borderId="41" xfId="50" applyNumberFormat="1" applyFont="1" applyBorder="1" applyAlignment="1">
      <alignment horizontal="center" vertical="center"/>
    </xf>
    <xf numFmtId="167" fontId="26" fillId="0" borderId="42" xfId="50" applyNumberFormat="1" applyFont="1" applyBorder="1" applyAlignment="1">
      <alignment horizontal="center" vertical="center"/>
    </xf>
    <xf numFmtId="167" fontId="26" fillId="0" borderId="56" xfId="50" applyNumberFormat="1" applyFont="1" applyBorder="1" applyAlignment="1">
      <alignment horizontal="center" vertical="center"/>
    </xf>
    <xf numFmtId="167" fontId="26" fillId="0" borderId="43" xfId="50" applyNumberFormat="1" applyFont="1" applyBorder="1" applyAlignment="1">
      <alignment horizontal="center" vertical="center"/>
    </xf>
    <xf numFmtId="0" fontId="25" fillId="0" borderId="0" xfId="50" applyFont="1" applyAlignment="1">
      <alignment horizontal="center"/>
    </xf>
    <xf numFmtId="14" fontId="25" fillId="0" borderId="0" xfId="50" applyNumberFormat="1" applyFont="1" applyAlignment="1">
      <alignment horizontal="left"/>
    </xf>
    <xf numFmtId="0" fontId="25" fillId="0" borderId="0" xfId="50" applyFont="1"/>
    <xf numFmtId="3" fontId="25" fillId="0" borderId="0" xfId="50" applyNumberFormat="1" applyFont="1"/>
    <xf numFmtId="0" fontId="25" fillId="0" borderId="0" xfId="50" applyFont="1" applyAlignment="1">
      <alignment horizontal="left"/>
    </xf>
    <xf numFmtId="167" fontId="25" fillId="0" borderId="0" xfId="50" applyNumberFormat="1" applyFont="1" applyAlignment="1">
      <alignment horizontal="center"/>
    </xf>
    <xf numFmtId="49" fontId="25" fillId="0" borderId="0" xfId="50" applyNumberFormat="1" applyFont="1" applyAlignment="1">
      <alignment horizontal="center"/>
    </xf>
    <xf numFmtId="167" fontId="27" fillId="0" borderId="16" xfId="57" applyNumberFormat="1" applyFont="1" applyFill="1" applyBorder="1" applyAlignment="1">
      <alignment horizontal="center" vertical="center" wrapText="1"/>
    </xf>
    <xf numFmtId="167" fontId="27" fillId="0" borderId="31" xfId="57" applyNumberFormat="1" applyFont="1" applyFill="1" applyBorder="1" applyAlignment="1">
      <alignment horizontal="center" vertical="center" wrapText="1"/>
    </xf>
    <xf numFmtId="167" fontId="27" fillId="0" borderId="26" xfId="46" applyNumberFormat="1" applyFont="1" applyFill="1" applyBorder="1" applyAlignment="1">
      <alignment horizontal="center" vertical="center"/>
    </xf>
    <xf numFmtId="167" fontId="27" fillId="0" borderId="62" xfId="46" applyNumberFormat="1" applyFont="1" applyFill="1" applyBorder="1" applyAlignment="1">
      <alignment horizontal="center" vertical="center"/>
    </xf>
    <xf numFmtId="167" fontId="27" fillId="0" borderId="70" xfId="46" applyNumberFormat="1" applyFont="1" applyFill="1" applyBorder="1" applyAlignment="1">
      <alignment horizontal="center" vertical="center" wrapText="1"/>
    </xf>
    <xf numFmtId="167" fontId="27" fillId="0" borderId="55" xfId="46" applyNumberFormat="1" applyFont="1" applyFill="1" applyBorder="1" applyAlignment="1">
      <alignment horizontal="center" vertical="center" wrapText="1"/>
    </xf>
    <xf numFmtId="167" fontId="26" fillId="0" borderId="71" xfId="57" applyNumberFormat="1" applyFont="1" applyBorder="1" applyAlignment="1">
      <alignment horizontal="center" vertical="center"/>
    </xf>
    <xf numFmtId="167" fontId="27" fillId="0" borderId="12" xfId="46" applyNumberFormat="1" applyFont="1" applyFill="1" applyBorder="1" applyAlignment="1">
      <alignment horizontal="center" vertical="center"/>
    </xf>
    <xf numFmtId="167" fontId="27" fillId="0" borderId="14" xfId="46" applyNumberFormat="1" applyFont="1" applyFill="1" applyBorder="1" applyAlignment="1">
      <alignment horizontal="center" vertical="center"/>
    </xf>
    <xf numFmtId="167" fontId="27" fillId="0" borderId="29" xfId="46" applyNumberFormat="1" applyFont="1" applyFill="1" applyBorder="1" applyAlignment="1">
      <alignment horizontal="center" vertical="center"/>
    </xf>
    <xf numFmtId="0" fontId="27" fillId="0" borderId="31" xfId="46" applyFont="1" applyBorder="1" applyAlignment="1">
      <alignment horizontal="center" vertical="center"/>
    </xf>
    <xf numFmtId="0" fontId="27" fillId="25" borderId="58" xfId="50" applyFont="1" applyFill="1" applyBorder="1" applyAlignment="1">
      <alignment horizontal="center" vertical="center"/>
    </xf>
    <xf numFmtId="0" fontId="27" fillId="25" borderId="16" xfId="50" applyFont="1" applyFill="1" applyBorder="1" applyAlignment="1">
      <alignment horizontal="center" vertical="center"/>
    </xf>
    <xf numFmtId="0" fontId="27" fillId="0" borderId="14" xfId="50" applyFont="1" applyBorder="1" applyAlignment="1">
      <alignment horizontal="center" vertical="center"/>
    </xf>
    <xf numFmtId="49" fontId="27" fillId="0" borderId="14" xfId="50" applyNumberFormat="1" applyFont="1" applyBorder="1" applyAlignment="1">
      <alignment horizontal="center" vertical="center"/>
    </xf>
    <xf numFmtId="0" fontId="27" fillId="0" borderId="31" xfId="50" applyFont="1" applyBorder="1" applyAlignment="1">
      <alignment horizontal="center" vertical="center"/>
    </xf>
    <xf numFmtId="0" fontId="27" fillId="0" borderId="24" xfId="50" applyFont="1" applyBorder="1" applyAlignment="1">
      <alignment horizontal="center" vertical="center"/>
    </xf>
    <xf numFmtId="0" fontId="27" fillId="0" borderId="59" xfId="50" applyFont="1" applyBorder="1" applyAlignment="1">
      <alignment horizontal="center" vertical="center"/>
    </xf>
    <xf numFmtId="49" fontId="27" fillId="0" borderId="10" xfId="50" applyNumberFormat="1" applyFont="1" applyBorder="1" applyAlignment="1">
      <alignment horizontal="center" vertical="center"/>
    </xf>
    <xf numFmtId="0" fontId="27" fillId="24" borderId="10" xfId="50" applyFont="1" applyFill="1" applyBorder="1" applyAlignment="1">
      <alignment horizontal="center" vertical="center"/>
    </xf>
    <xf numFmtId="0" fontId="27" fillId="0" borderId="62" xfId="50" applyFont="1" applyBorder="1" applyAlignment="1">
      <alignment horizontal="center" vertical="center"/>
    </xf>
    <xf numFmtId="49" fontId="27" fillId="0" borderId="24" xfId="50" applyNumberFormat="1" applyFont="1" applyBorder="1" applyAlignment="1">
      <alignment horizontal="center" vertical="center"/>
    </xf>
    <xf numFmtId="49" fontId="27" fillId="0" borderId="45" xfId="50" applyNumberFormat="1" applyFont="1" applyBorder="1" applyAlignment="1">
      <alignment horizontal="center" vertical="center"/>
    </xf>
    <xf numFmtId="0" fontId="27" fillId="0" borderId="59" xfId="50" applyFont="1" applyBorder="1" applyAlignment="1">
      <alignment horizontal="center" vertical="center" wrapText="1"/>
    </xf>
    <xf numFmtId="0" fontId="27" fillId="0" borderId="14" xfId="50" applyFont="1" applyBorder="1" applyAlignment="1">
      <alignment horizontal="center" vertical="center" wrapText="1"/>
    </xf>
    <xf numFmtId="0" fontId="25" fillId="0" borderId="0" xfId="50" applyFont="1" applyAlignment="1">
      <alignment horizontal="center"/>
    </xf>
    <xf numFmtId="0" fontId="27" fillId="0" borderId="7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2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0" xfId="50" applyFont="1" applyBorder="1" applyAlignment="1">
      <alignment horizontal="center" wrapText="1"/>
    </xf>
    <xf numFmtId="0" fontId="27" fillId="0" borderId="0" xfId="50" applyFont="1" applyBorder="1" applyAlignment="1">
      <alignment horizontal="center"/>
    </xf>
    <xf numFmtId="0" fontId="27" fillId="0" borderId="0" xfId="50" applyFont="1" applyBorder="1"/>
    <xf numFmtId="0" fontId="27" fillId="0" borderId="0" xfId="50" applyFont="1" applyBorder="1" applyAlignment="1">
      <alignment horizontal="center" vertical="top"/>
    </xf>
    <xf numFmtId="0" fontId="27" fillId="0" borderId="26" xfId="50" applyFont="1" applyBorder="1" applyAlignment="1">
      <alignment horizontal="center" vertical="center"/>
    </xf>
    <xf numFmtId="165" fontId="27" fillId="0" borderId="0" xfId="50" applyNumberFormat="1" applyFont="1" applyBorder="1" applyAlignment="1">
      <alignment horizontal="center"/>
    </xf>
    <xf numFmtId="0" fontId="27" fillId="0" borderId="0" xfId="50" applyFont="1" applyBorder="1" applyAlignment="1">
      <alignment horizontal="center" vertical="center"/>
    </xf>
    <xf numFmtId="167" fontId="27" fillId="0" borderId="0" xfId="50" applyNumberFormat="1" applyFont="1" applyBorder="1" applyAlignment="1">
      <alignment horizontal="center" vertical="center"/>
    </xf>
    <xf numFmtId="167" fontId="26" fillId="29" borderId="67" xfId="50" applyNumberFormat="1" applyFont="1" applyFill="1" applyBorder="1" applyAlignment="1">
      <alignment horizontal="center" vertical="center"/>
    </xf>
    <xf numFmtId="167" fontId="27" fillId="0" borderId="35" xfId="57" applyNumberFormat="1" applyFont="1" applyBorder="1" applyAlignment="1">
      <alignment horizontal="center" vertical="center" wrapText="1"/>
    </xf>
    <xf numFmtId="167" fontId="27" fillId="0" borderId="25" xfId="57" applyNumberFormat="1" applyFont="1" applyFill="1" applyBorder="1" applyAlignment="1">
      <alignment horizontal="center" vertical="center" wrapText="1"/>
    </xf>
    <xf numFmtId="167" fontId="27" fillId="0" borderId="12" xfId="57" applyNumberFormat="1" applyFont="1" applyFill="1" applyBorder="1" applyAlignment="1">
      <alignment horizontal="center" vertical="center" wrapText="1"/>
    </xf>
    <xf numFmtId="167" fontId="27" fillId="0" borderId="11" xfId="57" applyNumberFormat="1" applyFont="1" applyFill="1" applyBorder="1" applyAlignment="1">
      <alignment horizontal="center" vertical="center" wrapText="1"/>
    </xf>
    <xf numFmtId="167" fontId="27" fillId="0" borderId="14" xfId="57" applyNumberFormat="1" applyFont="1" applyFill="1" applyBorder="1" applyAlignment="1">
      <alignment horizontal="center" vertical="center" wrapText="1"/>
    </xf>
    <xf numFmtId="167" fontId="36" fillId="0" borderId="12" xfId="46" applyNumberFormat="1" applyFont="1" applyFill="1" applyBorder="1" applyAlignment="1">
      <alignment horizontal="center" vertical="center"/>
    </xf>
    <xf numFmtId="167" fontId="36" fillId="0" borderId="59" xfId="46" applyNumberFormat="1" applyFont="1" applyFill="1" applyBorder="1" applyAlignment="1">
      <alignment horizontal="center" vertical="center"/>
    </xf>
    <xf numFmtId="167" fontId="36" fillId="0" borderId="24" xfId="46" applyNumberFormat="1" applyFont="1" applyFill="1" applyBorder="1" applyAlignment="1">
      <alignment horizontal="center" vertical="center"/>
    </xf>
    <xf numFmtId="0" fontId="27" fillId="0" borderId="13" xfId="50" applyFont="1" applyBorder="1" applyAlignment="1">
      <alignment horizontal="center" vertical="center"/>
    </xf>
    <xf numFmtId="0" fontId="27" fillId="0" borderId="35" xfId="50" applyFont="1" applyBorder="1" applyAlignment="1">
      <alignment horizontal="center" vertical="center" wrapText="1"/>
    </xf>
    <xf numFmtId="49" fontId="27" fillId="0" borderId="14" xfId="50" applyNumberFormat="1" applyFont="1" applyBorder="1" applyAlignment="1">
      <alignment horizontal="center" vertical="center"/>
    </xf>
    <xf numFmtId="49" fontId="27" fillId="0" borderId="31" xfId="50" applyNumberFormat="1" applyFont="1" applyBorder="1" applyAlignment="1">
      <alignment vertical="center"/>
    </xf>
    <xf numFmtId="167" fontId="27" fillId="0" borderId="35" xfId="50" applyNumberFormat="1" applyFont="1" applyBorder="1" applyAlignment="1">
      <alignment horizontal="center" vertical="center"/>
    </xf>
    <xf numFmtId="167" fontId="26" fillId="0" borderId="26" xfId="50" applyNumberFormat="1" applyFont="1" applyBorder="1" applyAlignment="1">
      <alignment horizontal="center" vertical="center"/>
    </xf>
    <xf numFmtId="167" fontId="26" fillId="0" borderId="48" xfId="50" applyNumberFormat="1" applyFont="1" applyBorder="1" applyAlignment="1">
      <alignment horizontal="center" vertical="center"/>
    </xf>
    <xf numFmtId="167" fontId="26" fillId="0" borderId="30" xfId="0" applyNumberFormat="1" applyFont="1" applyBorder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7" fontId="27" fillId="0" borderId="31" xfId="46" applyNumberFormat="1" applyFont="1" applyFill="1" applyBorder="1" applyAlignment="1">
      <alignment horizontal="center" vertical="center"/>
    </xf>
    <xf numFmtId="167" fontId="27" fillId="0" borderId="30" xfId="0" applyNumberFormat="1" applyFont="1" applyFill="1" applyBorder="1" applyAlignment="1">
      <alignment horizontal="center" vertical="center" wrapText="1"/>
    </xf>
    <xf numFmtId="167" fontId="27" fillId="0" borderId="31" xfId="0" applyNumberFormat="1" applyFont="1" applyFill="1" applyBorder="1" applyAlignment="1">
      <alignment horizontal="center" vertical="center" wrapText="1"/>
    </xf>
    <xf numFmtId="167" fontId="27" fillId="0" borderId="19" xfId="0" applyNumberFormat="1" applyFont="1" applyFill="1" applyBorder="1" applyAlignment="1">
      <alignment horizontal="center" vertical="center" wrapText="1"/>
    </xf>
    <xf numFmtId="167" fontId="27" fillId="0" borderId="25" xfId="0" applyNumberFormat="1" applyFont="1" applyFill="1" applyBorder="1" applyAlignment="1">
      <alignment horizontal="center" vertical="center" wrapText="1"/>
    </xf>
    <xf numFmtId="167" fontId="27" fillId="0" borderId="12" xfId="0" applyNumberFormat="1" applyFont="1" applyFill="1" applyBorder="1" applyAlignment="1">
      <alignment horizontal="center" vertical="center" wrapText="1"/>
    </xf>
    <xf numFmtId="167" fontId="27" fillId="0" borderId="26" xfId="0" applyNumberFormat="1" applyFont="1" applyFill="1" applyBorder="1" applyAlignment="1">
      <alignment horizontal="center" vertical="center" wrapText="1"/>
    </xf>
    <xf numFmtId="167" fontId="27" fillId="0" borderId="27" xfId="0" applyNumberFormat="1" applyFont="1" applyFill="1" applyBorder="1" applyAlignment="1">
      <alignment horizontal="center" vertical="center" wrapText="1"/>
    </xf>
    <xf numFmtId="167" fontId="27" fillId="0" borderId="16" xfId="0" applyNumberFormat="1" applyFont="1" applyFill="1" applyBorder="1" applyAlignment="1">
      <alignment horizontal="center" vertical="center" wrapText="1"/>
    </xf>
    <xf numFmtId="167" fontId="27" fillId="0" borderId="26" xfId="57" applyNumberFormat="1" applyFont="1" applyFill="1" applyBorder="1" applyAlignment="1">
      <alignment horizontal="center" vertical="center"/>
    </xf>
    <xf numFmtId="167" fontId="27" fillId="0" borderId="71" xfId="57" applyNumberFormat="1" applyFont="1" applyFill="1" applyBorder="1" applyAlignment="1">
      <alignment horizontal="center" vertical="center"/>
    </xf>
    <xf numFmtId="167" fontId="27" fillId="0" borderId="19" xfId="57" applyNumberFormat="1" applyFont="1" applyFill="1" applyBorder="1" applyAlignment="1">
      <alignment horizontal="center" vertical="center" wrapText="1"/>
    </xf>
    <xf numFmtId="167" fontId="27" fillId="0" borderId="28" xfId="57" applyNumberFormat="1" applyFont="1" applyFill="1" applyBorder="1" applyAlignment="1">
      <alignment horizontal="center" vertical="center" wrapText="1"/>
    </xf>
    <xf numFmtId="167" fontId="27" fillId="0" borderId="34" xfId="57" applyNumberFormat="1" applyFont="1" applyFill="1" applyBorder="1" applyAlignment="1">
      <alignment horizontal="center" vertical="center" wrapText="1"/>
    </xf>
    <xf numFmtId="167" fontId="27" fillId="0" borderId="20" xfId="57" applyNumberFormat="1" applyFont="1" applyFill="1" applyBorder="1" applyAlignment="1">
      <alignment horizontal="center" vertical="center" wrapText="1"/>
    </xf>
    <xf numFmtId="167" fontId="27" fillId="0" borderId="10" xfId="57" applyNumberFormat="1" applyFont="1" applyFill="1" applyBorder="1" applyAlignment="1">
      <alignment horizontal="center" vertical="center"/>
    </xf>
    <xf numFmtId="167" fontId="27" fillId="0" borderId="26" xfId="57" applyNumberFormat="1" applyFont="1" applyFill="1" applyBorder="1" applyAlignment="1">
      <alignment horizontal="center" vertical="center" wrapText="1"/>
    </xf>
    <xf numFmtId="167" fontId="27" fillId="0" borderId="17" xfId="57" applyNumberFormat="1" applyFont="1" applyFill="1" applyBorder="1" applyAlignment="1">
      <alignment horizontal="center" vertical="center"/>
    </xf>
    <xf numFmtId="167" fontId="27" fillId="0" borderId="62" xfId="57" applyNumberFormat="1" applyFont="1" applyFill="1" applyBorder="1" applyAlignment="1">
      <alignment horizontal="center" vertical="center"/>
    </xf>
    <xf numFmtId="167" fontId="27" fillId="0" borderId="58" xfId="57" applyNumberFormat="1" applyFont="1" applyFill="1" applyBorder="1" applyAlignment="1">
      <alignment horizontal="center" vertical="center" wrapText="1"/>
    </xf>
    <xf numFmtId="167" fontId="27" fillId="0" borderId="23" xfId="57" applyNumberFormat="1" applyFont="1" applyFill="1" applyBorder="1" applyAlignment="1">
      <alignment horizontal="center" vertical="center" wrapText="1"/>
    </xf>
    <xf numFmtId="167" fontId="27" fillId="0" borderId="62" xfId="46" applyNumberFormat="1" applyFont="1" applyFill="1" applyBorder="1" applyAlignment="1" applyProtection="1">
      <alignment horizontal="center" vertical="center" wrapText="1"/>
      <protection locked="0"/>
    </xf>
    <xf numFmtId="167" fontId="27" fillId="0" borderId="59" xfId="56" applyNumberFormat="1" applyFont="1" applyFill="1" applyBorder="1" applyAlignment="1" applyProtection="1">
      <alignment horizontal="center" vertical="center" wrapText="1"/>
      <protection locked="0"/>
    </xf>
    <xf numFmtId="167" fontId="27" fillId="0" borderId="11" xfId="46" applyNumberFormat="1" applyFont="1" applyFill="1" applyBorder="1" applyAlignment="1">
      <alignment horizontal="center" vertical="center" wrapText="1"/>
    </xf>
    <xf numFmtId="167" fontId="27" fillId="0" borderId="25" xfId="50" applyNumberFormat="1" applyFont="1" applyFill="1" applyBorder="1" applyAlignment="1">
      <alignment horizontal="center" vertical="center"/>
    </xf>
    <xf numFmtId="167" fontId="27" fillId="0" borderId="12" xfId="50" applyNumberFormat="1" applyFont="1" applyFill="1" applyBorder="1" applyAlignment="1">
      <alignment horizontal="center" vertical="center"/>
    </xf>
    <xf numFmtId="167" fontId="27" fillId="0" borderId="58" xfId="50" applyNumberFormat="1" applyFont="1" applyFill="1" applyBorder="1" applyAlignment="1">
      <alignment horizontal="center" vertical="center"/>
    </xf>
    <xf numFmtId="167" fontId="27" fillId="0" borderId="14" xfId="50" applyNumberFormat="1" applyFont="1" applyFill="1" applyBorder="1" applyAlignment="1">
      <alignment horizontal="center" vertical="center"/>
    </xf>
    <xf numFmtId="167" fontId="27" fillId="0" borderId="24" xfId="50" applyNumberFormat="1" applyFont="1" applyFill="1" applyBorder="1" applyAlignment="1">
      <alignment horizontal="center" vertical="center"/>
    </xf>
    <xf numFmtId="167" fontId="27" fillId="0" borderId="55" xfId="50" applyNumberFormat="1" applyFont="1" applyFill="1" applyBorder="1" applyAlignment="1">
      <alignment horizontal="center" vertical="center"/>
    </xf>
    <xf numFmtId="167" fontId="27" fillId="0" borderId="71" xfId="46" applyNumberFormat="1" applyFont="1" applyFill="1" applyBorder="1" applyAlignment="1">
      <alignment horizontal="center" vertical="center"/>
    </xf>
    <xf numFmtId="167" fontId="27" fillId="0" borderId="25" xfId="46" applyNumberFormat="1" applyFont="1" applyFill="1" applyBorder="1" applyAlignment="1">
      <alignment horizontal="center" vertical="center"/>
    </xf>
    <xf numFmtId="167" fontId="27" fillId="0" borderId="35" xfId="46" applyNumberFormat="1" applyFont="1" applyFill="1" applyBorder="1" applyAlignment="1">
      <alignment horizontal="center" vertical="center"/>
    </xf>
    <xf numFmtId="167" fontId="27" fillId="0" borderId="11" xfId="0" applyNumberFormat="1" applyFont="1" applyFill="1" applyBorder="1" applyAlignment="1">
      <alignment horizontal="center" vertical="center"/>
    </xf>
    <xf numFmtId="167" fontId="27" fillId="0" borderId="14" xfId="0" applyNumberFormat="1" applyFont="1" applyFill="1" applyBorder="1" applyAlignment="1">
      <alignment horizontal="center" vertical="center" wrapText="1"/>
    </xf>
    <xf numFmtId="167" fontId="27" fillId="0" borderId="28" xfId="0" applyNumberFormat="1" applyFont="1" applyFill="1" applyBorder="1" applyAlignment="1">
      <alignment horizontal="center" vertical="center" wrapText="1"/>
    </xf>
    <xf numFmtId="167" fontId="27" fillId="0" borderId="24" xfId="0" applyNumberFormat="1" applyFont="1" applyFill="1" applyBorder="1" applyAlignment="1">
      <alignment horizontal="center" vertical="center" wrapText="1"/>
    </xf>
    <xf numFmtId="167" fontId="27" fillId="0" borderId="15" xfId="0" applyNumberFormat="1" applyFont="1" applyFill="1" applyBorder="1" applyAlignment="1">
      <alignment horizontal="center" vertical="center"/>
    </xf>
    <xf numFmtId="167" fontId="27" fillId="0" borderId="20" xfId="0" applyNumberFormat="1" applyFont="1" applyFill="1" applyBorder="1" applyAlignment="1">
      <alignment horizontal="center" vertical="center" wrapText="1"/>
    </xf>
    <xf numFmtId="0" fontId="27" fillId="0" borderId="66" xfId="0" applyFont="1" applyFill="1" applyBorder="1"/>
    <xf numFmtId="0" fontId="27" fillId="0" borderId="21" xfId="0" applyFont="1" applyFill="1" applyBorder="1"/>
    <xf numFmtId="0" fontId="27" fillId="0" borderId="28" xfId="0" applyFont="1" applyBorder="1" applyAlignment="1">
      <alignment horizontal="center" vertical="center"/>
    </xf>
    <xf numFmtId="49" fontId="27" fillId="0" borderId="12" xfId="46" applyNumberFormat="1" applyFont="1" applyFill="1" applyBorder="1" applyAlignment="1">
      <alignment horizontal="center" vertical="center" wrapText="1"/>
    </xf>
    <xf numFmtId="4" fontId="27" fillId="0" borderId="16" xfId="46" applyNumberFormat="1" applyFont="1" applyFill="1" applyBorder="1" applyAlignment="1">
      <alignment horizontal="center" vertical="center" wrapText="1"/>
    </xf>
    <xf numFmtId="4" fontId="27" fillId="0" borderId="31" xfId="46" applyNumberFormat="1" applyFont="1" applyFill="1" applyBorder="1" applyAlignment="1">
      <alignment horizontal="center" vertical="center" wrapText="1"/>
    </xf>
    <xf numFmtId="167" fontId="27" fillId="0" borderId="15" xfId="46" applyNumberFormat="1" applyFont="1" applyFill="1" applyBorder="1" applyAlignment="1">
      <alignment horizontal="center" vertical="center" wrapText="1"/>
    </xf>
    <xf numFmtId="167" fontId="27" fillId="0" borderId="24" xfId="46" quotePrefix="1" applyNumberFormat="1" applyFont="1" applyFill="1" applyBorder="1" applyAlignment="1">
      <alignment horizontal="center" vertical="center" wrapText="1"/>
    </xf>
    <xf numFmtId="1" fontId="25" fillId="0" borderId="0" xfId="57" applyNumberFormat="1" applyFont="1" applyAlignment="1">
      <alignment horizontal="center"/>
    </xf>
    <xf numFmtId="167" fontId="27" fillId="0" borderId="59" xfId="50" applyNumberFormat="1" applyFont="1" applyFill="1" applyBorder="1" applyAlignment="1">
      <alignment horizontal="center" vertical="center"/>
    </xf>
    <xf numFmtId="167" fontId="27" fillId="0" borderId="31" xfId="50" applyNumberFormat="1" applyFont="1" applyFill="1" applyBorder="1" applyAlignment="1">
      <alignment horizontal="center" vertical="center"/>
    </xf>
    <xf numFmtId="167" fontId="27" fillId="0" borderId="11" xfId="50" applyNumberFormat="1" applyFont="1" applyFill="1" applyBorder="1" applyAlignment="1">
      <alignment horizontal="center" vertical="center"/>
    </xf>
    <xf numFmtId="0" fontId="27" fillId="0" borderId="0" xfId="50" applyFont="1" applyFill="1" applyAlignment="1">
      <alignment horizontal="center" vertical="center"/>
    </xf>
    <xf numFmtId="0" fontId="68" fillId="0" borderId="0" xfId="57" applyFont="1"/>
    <xf numFmtId="0" fontId="68" fillId="0" borderId="14" xfId="57" applyFont="1" applyBorder="1" applyAlignment="1">
      <alignment horizontal="center" vertical="center"/>
    </xf>
    <xf numFmtId="167" fontId="27" fillId="0" borderId="62" xfId="57" applyNumberFormat="1" applyFont="1" applyFill="1" applyBorder="1" applyAlignment="1">
      <alignment horizontal="center" vertical="center" wrapText="1"/>
    </xf>
    <xf numFmtId="167" fontId="27" fillId="31" borderId="30" xfId="57" applyNumberFormat="1" applyFont="1" applyFill="1" applyBorder="1" applyAlignment="1">
      <alignment horizontal="center" vertical="center" wrapText="1"/>
    </xf>
    <xf numFmtId="167" fontId="27" fillId="31" borderId="71" xfId="57" applyNumberFormat="1" applyFont="1" applyFill="1" applyBorder="1" applyAlignment="1">
      <alignment horizontal="center" vertical="center" wrapText="1"/>
    </xf>
    <xf numFmtId="0" fontId="27" fillId="0" borderId="17" xfId="57" applyFont="1" applyBorder="1" applyAlignment="1">
      <alignment horizontal="center" vertical="center" wrapText="1"/>
    </xf>
    <xf numFmtId="0" fontId="27" fillId="0" borderId="10" xfId="57" applyFont="1" applyBorder="1" applyAlignment="1">
      <alignment horizontal="center" vertical="center" wrapText="1"/>
    </xf>
    <xf numFmtId="167" fontId="27" fillId="0" borderId="31" xfId="52" applyNumberFormat="1" applyFont="1" applyFill="1" applyBorder="1" applyAlignment="1">
      <alignment horizontal="center" vertical="center" wrapText="1"/>
    </xf>
    <xf numFmtId="167" fontId="27" fillId="0" borderId="12" xfId="52" applyNumberFormat="1" applyFont="1" applyFill="1" applyBorder="1" applyAlignment="1">
      <alignment horizontal="center" vertical="center" wrapText="1"/>
    </xf>
    <xf numFmtId="167" fontId="27" fillId="0" borderId="52" xfId="52" applyNumberFormat="1" applyFont="1" applyFill="1" applyBorder="1" applyAlignment="1">
      <alignment horizontal="center" vertical="center" wrapText="1"/>
    </xf>
    <xf numFmtId="167" fontId="27" fillId="0" borderId="42" xfId="46" applyNumberFormat="1" applyFont="1" applyFill="1" applyBorder="1" applyAlignment="1">
      <alignment horizontal="center" vertical="center"/>
    </xf>
    <xf numFmtId="167" fontId="27" fillId="0" borderId="14" xfId="0" applyNumberFormat="1" applyFont="1" applyBorder="1" applyAlignment="1">
      <alignment horizontal="center" vertical="center" wrapText="1"/>
    </xf>
    <xf numFmtId="167" fontId="28" fillId="0" borderId="12" xfId="57" applyNumberFormat="1" applyFont="1" applyBorder="1" applyAlignment="1">
      <alignment horizontal="center" vertical="center" wrapText="1"/>
    </xf>
    <xf numFmtId="167" fontId="28" fillId="0" borderId="31" xfId="57" applyNumberFormat="1" applyFont="1" applyBorder="1" applyAlignment="1">
      <alignment horizontal="center" vertical="center" wrapText="1"/>
    </xf>
    <xf numFmtId="167" fontId="28" fillId="0" borderId="19" xfId="57" applyNumberFormat="1" applyFont="1" applyBorder="1" applyAlignment="1">
      <alignment horizontal="center" vertical="center" wrapText="1"/>
    </xf>
    <xf numFmtId="167" fontId="28" fillId="0" borderId="27" xfId="57" applyNumberFormat="1" applyFont="1" applyBorder="1" applyAlignment="1">
      <alignment horizontal="center" vertical="center" wrapText="1"/>
    </xf>
    <xf numFmtId="167" fontId="28" fillId="0" borderId="79" xfId="57" applyNumberFormat="1" applyFont="1" applyBorder="1" applyAlignment="1">
      <alignment horizontal="center" vertical="center" wrapText="1"/>
    </xf>
    <xf numFmtId="167" fontId="28" fillId="0" borderId="30" xfId="57" applyNumberFormat="1" applyFont="1" applyBorder="1" applyAlignment="1">
      <alignment horizontal="center" vertical="center" wrapText="1"/>
    </xf>
    <xf numFmtId="167" fontId="28" fillId="0" borderId="33" xfId="57" applyNumberFormat="1" applyFont="1" applyBorder="1" applyAlignment="1">
      <alignment horizontal="center" vertical="center" wrapText="1"/>
    </xf>
    <xf numFmtId="167" fontId="28" fillId="31" borderId="14" xfId="57" applyNumberFormat="1" applyFont="1" applyFill="1" applyBorder="1" applyAlignment="1">
      <alignment horizontal="center" vertical="center" wrapText="1"/>
    </xf>
    <xf numFmtId="167" fontId="28" fillId="31" borderId="33" xfId="57" applyNumberFormat="1" applyFont="1" applyFill="1" applyBorder="1" applyAlignment="1">
      <alignment horizontal="center" vertical="center" wrapText="1"/>
    </xf>
    <xf numFmtId="167" fontId="28" fillId="31" borderId="30" xfId="57" applyNumberFormat="1" applyFont="1" applyFill="1" applyBorder="1" applyAlignment="1">
      <alignment horizontal="center" vertical="center" wrapText="1"/>
    </xf>
    <xf numFmtId="167" fontId="28" fillId="31" borderId="31" xfId="57" applyNumberFormat="1" applyFont="1" applyFill="1" applyBorder="1" applyAlignment="1">
      <alignment horizontal="center" vertical="center" wrapText="1"/>
    </xf>
    <xf numFmtId="167" fontId="28" fillId="31" borderId="29" xfId="57" applyNumberFormat="1" applyFont="1" applyFill="1" applyBorder="1" applyAlignment="1">
      <alignment horizontal="center" vertical="center" wrapText="1"/>
    </xf>
    <xf numFmtId="167" fontId="28" fillId="31" borderId="87" xfId="57" applyNumberFormat="1" applyFont="1" applyFill="1" applyBorder="1" applyAlignment="1">
      <alignment horizontal="center" vertical="center" wrapText="1"/>
    </xf>
    <xf numFmtId="167" fontId="30" fillId="0" borderId="12" xfId="57" applyNumberFormat="1" applyFont="1" applyBorder="1" applyAlignment="1">
      <alignment horizontal="center" vertical="center" wrapText="1"/>
    </xf>
    <xf numFmtId="167" fontId="30" fillId="0" borderId="14" xfId="57" applyNumberFormat="1" applyFont="1" applyBorder="1" applyAlignment="1">
      <alignment horizontal="center" vertical="center" wrapText="1"/>
    </xf>
    <xf numFmtId="167" fontId="30" fillId="0" borderId="24" xfId="57" applyNumberFormat="1" applyFont="1" applyBorder="1" applyAlignment="1">
      <alignment horizontal="center" vertical="center" wrapText="1"/>
    </xf>
    <xf numFmtId="167" fontId="28" fillId="31" borderId="19" xfId="57" applyNumberFormat="1" applyFont="1" applyFill="1" applyBorder="1" applyAlignment="1">
      <alignment horizontal="center" vertical="center" wrapText="1"/>
    </xf>
    <xf numFmtId="167" fontId="28" fillId="0" borderId="31" xfId="57" applyNumberFormat="1" applyFont="1" applyFill="1" applyBorder="1" applyAlignment="1">
      <alignment horizontal="center" vertical="center" wrapText="1"/>
    </xf>
    <xf numFmtId="167" fontId="28" fillId="0" borderId="19" xfId="57" applyNumberFormat="1" applyFont="1" applyFill="1" applyBorder="1" applyAlignment="1">
      <alignment horizontal="center" vertical="center" wrapText="1"/>
    </xf>
    <xf numFmtId="167" fontId="28" fillId="0" borderId="12" xfId="57" applyNumberFormat="1" applyFont="1" applyFill="1" applyBorder="1" applyAlignment="1">
      <alignment horizontal="center" vertical="center" wrapText="1"/>
    </xf>
    <xf numFmtId="167" fontId="28" fillId="0" borderId="26" xfId="57" applyNumberFormat="1" applyFont="1" applyFill="1" applyBorder="1" applyAlignment="1">
      <alignment horizontal="center" vertical="center" wrapText="1"/>
    </xf>
    <xf numFmtId="167" fontId="27" fillId="0" borderId="14" xfId="46" applyNumberFormat="1" applyFont="1" applyBorder="1" applyAlignment="1">
      <alignment horizontal="center" vertical="center" wrapText="1"/>
    </xf>
    <xf numFmtId="167" fontId="27" fillId="0" borderId="28" xfId="46" applyNumberFormat="1" applyFont="1" applyBorder="1" applyAlignment="1">
      <alignment horizontal="center" vertical="center" wrapText="1"/>
    </xf>
    <xf numFmtId="167" fontId="27" fillId="0" borderId="27" xfId="46" applyNumberFormat="1" applyFont="1" applyBorder="1" applyAlignment="1">
      <alignment horizontal="center" vertical="center" wrapText="1"/>
    </xf>
    <xf numFmtId="167" fontId="27" fillId="0" borderId="12" xfId="46" applyNumberFormat="1" applyFont="1" applyBorder="1" applyAlignment="1">
      <alignment horizontal="center" vertical="center" wrapText="1"/>
    </xf>
    <xf numFmtId="167" fontId="27" fillId="0" borderId="26" xfId="46" applyNumberFormat="1" applyFont="1" applyBorder="1" applyAlignment="1">
      <alignment horizontal="center" vertical="center" wrapText="1"/>
    </xf>
    <xf numFmtId="167" fontId="27" fillId="0" borderId="25" xfId="46" applyNumberFormat="1" applyFont="1" applyBorder="1" applyAlignment="1">
      <alignment horizontal="center" vertical="center" wrapText="1"/>
    </xf>
    <xf numFmtId="0" fontId="27" fillId="0" borderId="31" xfId="46" applyFont="1" applyBorder="1" applyAlignment="1">
      <alignment horizontal="center" vertical="center" wrapText="1"/>
    </xf>
    <xf numFmtId="0" fontId="27" fillId="0" borderId="14" xfId="46" applyFont="1" applyBorder="1" applyAlignment="1">
      <alignment horizontal="center" vertical="center" wrapText="1"/>
    </xf>
    <xf numFmtId="0" fontId="27" fillId="0" borderId="24" xfId="46" applyFont="1" applyBorder="1" applyAlignment="1">
      <alignment horizontal="center" vertical="center" wrapText="1"/>
    </xf>
    <xf numFmtId="0" fontId="27" fillId="0" borderId="62" xfId="46" applyFont="1" applyBorder="1" applyAlignment="1">
      <alignment horizontal="center" vertical="center" wrapText="1"/>
    </xf>
    <xf numFmtId="0" fontId="27" fillId="0" borderId="13" xfId="46" applyFont="1" applyBorder="1" applyAlignment="1">
      <alignment vertical="center" wrapText="1"/>
    </xf>
    <xf numFmtId="49" fontId="27" fillId="0" borderId="17" xfId="46" applyNumberFormat="1" applyFont="1" applyBorder="1" applyAlignment="1">
      <alignment horizontal="center" vertical="center" wrapText="1"/>
    </xf>
    <xf numFmtId="0" fontId="27" fillId="0" borderId="10" xfId="46" applyFont="1" applyBorder="1" applyAlignment="1">
      <alignment horizontal="center" vertical="center" wrapText="1"/>
    </xf>
    <xf numFmtId="0" fontId="27" fillId="0" borderId="17" xfId="46" applyFont="1" applyBorder="1" applyAlignment="1">
      <alignment horizontal="center" vertical="center" wrapText="1"/>
    </xf>
    <xf numFmtId="0" fontId="27" fillId="0" borderId="45" xfId="46" applyFont="1" applyBorder="1" applyAlignment="1">
      <alignment horizontal="center" vertical="center" wrapText="1"/>
    </xf>
    <xf numFmtId="0" fontId="25" fillId="33" borderId="11" xfId="46" applyFont="1" applyFill="1" applyBorder="1" applyAlignment="1">
      <alignment horizontal="center" vertical="center"/>
    </xf>
    <xf numFmtId="49" fontId="27" fillId="0" borderId="14" xfId="46" applyNumberFormat="1" applyFont="1" applyBorder="1" applyAlignment="1">
      <alignment horizontal="center" vertical="center" wrapText="1"/>
    </xf>
    <xf numFmtId="0" fontId="27" fillId="26" borderId="24" xfId="46" applyFont="1" applyFill="1" applyBorder="1" applyAlignment="1">
      <alignment horizontal="center" vertical="center" wrapText="1"/>
    </xf>
    <xf numFmtId="0" fontId="27" fillId="26" borderId="31" xfId="46" applyFont="1" applyFill="1" applyBorder="1" applyAlignment="1">
      <alignment horizontal="center" vertical="center" wrapText="1"/>
    </xf>
    <xf numFmtId="0" fontId="27" fillId="31" borderId="59" xfId="46" applyFont="1" applyFill="1" applyBorder="1" applyAlignment="1">
      <alignment horizontal="center" vertical="center" wrapText="1"/>
    </xf>
    <xf numFmtId="0" fontId="27" fillId="31" borderId="62" xfId="46" applyFont="1" applyFill="1" applyBorder="1" applyAlignment="1">
      <alignment horizontal="center" vertical="center" wrapText="1"/>
    </xf>
    <xf numFmtId="0" fontId="27" fillId="31" borderId="10" xfId="46" applyFont="1" applyFill="1" applyBorder="1" applyAlignment="1">
      <alignment horizontal="center" vertical="center" wrapText="1"/>
    </xf>
    <xf numFmtId="0" fontId="27" fillId="31" borderId="45" xfId="46" applyFont="1" applyFill="1" applyBorder="1" applyAlignment="1">
      <alignment horizontal="center" vertical="center" wrapText="1"/>
    </xf>
    <xf numFmtId="0" fontId="27" fillId="0" borderId="29" xfId="46" applyFont="1" applyBorder="1" applyAlignment="1">
      <alignment horizontal="center" vertical="center" wrapText="1"/>
    </xf>
    <xf numFmtId="49" fontId="27" fillId="0" borderId="31" xfId="46" applyNumberFormat="1" applyFont="1" applyBorder="1" applyAlignment="1">
      <alignment horizontal="center" vertical="center" wrapText="1"/>
    </xf>
    <xf numFmtId="0" fontId="27" fillId="33" borderId="16" xfId="46" applyFont="1" applyFill="1" applyBorder="1" applyAlignment="1">
      <alignment horizontal="center" vertical="center"/>
    </xf>
    <xf numFmtId="14" fontId="27" fillId="0" borderId="59" xfId="46" applyNumberFormat="1" applyFont="1" applyBorder="1" applyAlignment="1">
      <alignment horizontal="center" vertical="center" wrapText="1"/>
    </xf>
    <xf numFmtId="0" fontId="28" fillId="31" borderId="59" xfId="46" applyFont="1" applyFill="1" applyBorder="1" applyAlignment="1">
      <alignment horizontal="center" vertical="center" wrapText="1"/>
    </xf>
    <xf numFmtId="0" fontId="27" fillId="0" borderId="59" xfId="46" applyFont="1" applyBorder="1" applyAlignment="1">
      <alignment horizontal="center" vertical="center"/>
    </xf>
    <xf numFmtId="0" fontId="27" fillId="0" borderId="13" xfId="46" applyFont="1" applyBorder="1" applyAlignment="1">
      <alignment horizontal="center" vertical="center" wrapText="1"/>
    </xf>
    <xf numFmtId="0" fontId="27" fillId="0" borderId="55" xfId="46" applyFont="1" applyBorder="1" applyAlignment="1">
      <alignment horizontal="center" vertical="center" wrapText="1"/>
    </xf>
    <xf numFmtId="167" fontId="27" fillId="0" borderId="17" xfId="46" applyNumberFormat="1" applyFont="1" applyBorder="1" applyAlignment="1">
      <alignment horizontal="center" vertical="center" wrapText="1"/>
    </xf>
    <xf numFmtId="167" fontId="27" fillId="0" borderId="46" xfId="46" applyNumberFormat="1" applyFont="1" applyBorder="1" applyAlignment="1">
      <alignment horizontal="center" vertical="center" wrapText="1"/>
    </xf>
    <xf numFmtId="0" fontId="27" fillId="25" borderId="15" xfId="46" applyFont="1" applyFill="1" applyBorder="1" applyAlignment="1">
      <alignment horizontal="center" vertical="center" wrapText="1"/>
    </xf>
    <xf numFmtId="0" fontId="27" fillId="0" borderId="74" xfId="46" applyFont="1" applyBorder="1" applyAlignment="1">
      <alignment horizontal="center" vertical="center" wrapText="1"/>
    </xf>
    <xf numFmtId="0" fontId="27" fillId="25" borderId="11" xfId="46" applyFont="1" applyFill="1" applyBorder="1" applyAlignment="1">
      <alignment horizontal="center" vertical="center" wrapText="1"/>
    </xf>
    <xf numFmtId="0" fontId="27" fillId="0" borderId="14" xfId="46" applyFont="1" applyBorder="1" applyAlignment="1">
      <alignment vertical="center" wrapText="1"/>
    </xf>
    <xf numFmtId="0" fontId="27" fillId="31" borderId="17" xfId="46" applyFont="1" applyFill="1" applyBorder="1" applyAlignment="1">
      <alignment horizontal="center" vertical="center" wrapText="1"/>
    </xf>
    <xf numFmtId="0" fontId="36" fillId="0" borderId="36" xfId="46" applyFont="1" applyBorder="1" applyAlignment="1">
      <alignment horizontal="left" vertical="center" wrapText="1"/>
    </xf>
    <xf numFmtId="0" fontId="27" fillId="31" borderId="13" xfId="46" applyFont="1" applyFill="1" applyBorder="1" applyAlignment="1">
      <alignment horizontal="center" vertical="center"/>
    </xf>
    <xf numFmtId="0" fontId="27" fillId="31" borderId="31" xfId="46" applyFont="1" applyFill="1" applyBorder="1" applyAlignment="1">
      <alignment horizontal="center" vertical="center"/>
    </xf>
    <xf numFmtId="49" fontId="36" fillId="0" borderId="14" xfId="46" applyNumberFormat="1" applyFont="1" applyBorder="1" applyAlignment="1">
      <alignment horizontal="center" vertical="center"/>
    </xf>
    <xf numFmtId="49" fontId="36" fillId="0" borderId="17" xfId="46" applyNumberFormat="1" applyFont="1" applyBorder="1" applyAlignment="1">
      <alignment horizontal="center" vertical="center"/>
    </xf>
    <xf numFmtId="167" fontId="27" fillId="0" borderId="11" xfId="46" applyNumberFormat="1" applyFont="1" applyBorder="1" applyAlignment="1">
      <alignment horizontal="center" vertical="center" wrapText="1"/>
    </xf>
    <xf numFmtId="167" fontId="27" fillId="0" borderId="15" xfId="46" applyNumberFormat="1" applyFont="1" applyBorder="1" applyAlignment="1">
      <alignment horizontal="center" vertical="center" wrapText="1"/>
    </xf>
    <xf numFmtId="167" fontId="27" fillId="0" borderId="35" xfId="46" applyNumberFormat="1" applyFont="1" applyBorder="1" applyAlignment="1">
      <alignment horizontal="center" vertical="center" wrapText="1"/>
    </xf>
    <xf numFmtId="0" fontId="36" fillId="0" borderId="13" xfId="46" applyFont="1" applyBorder="1" applyAlignment="1">
      <alignment horizontal="center" vertical="center" wrapText="1"/>
    </xf>
    <xf numFmtId="0" fontId="36" fillId="0" borderId="55" xfId="46" applyFont="1" applyBorder="1" applyAlignment="1">
      <alignment horizontal="center" vertical="center" wrapText="1"/>
    </xf>
    <xf numFmtId="0" fontId="36" fillId="0" borderId="31" xfId="46" applyFont="1" applyBorder="1" applyAlignment="1">
      <alignment horizontal="center" vertical="center" wrapText="1"/>
    </xf>
    <xf numFmtId="0" fontId="36" fillId="0" borderId="24" xfId="46" applyFont="1" applyBorder="1" applyAlignment="1">
      <alignment horizontal="center" vertical="center" wrapText="1"/>
    </xf>
    <xf numFmtId="0" fontId="27" fillId="25" borderId="11" xfId="46" applyFont="1" applyFill="1" applyBorder="1" applyAlignment="1">
      <alignment horizontal="center" vertical="center"/>
    </xf>
    <xf numFmtId="0" fontId="36" fillId="0" borderId="59" xfId="46" applyFont="1" applyBorder="1" applyAlignment="1">
      <alignment horizontal="center" vertical="center" wrapText="1"/>
    </xf>
    <xf numFmtId="0" fontId="36" fillId="0" borderId="62" xfId="46" applyFont="1" applyBorder="1" applyAlignment="1">
      <alignment horizontal="center" vertical="center" wrapText="1"/>
    </xf>
    <xf numFmtId="0" fontId="36" fillId="25" borderId="16" xfId="46" applyFont="1" applyFill="1" applyBorder="1" applyAlignment="1">
      <alignment horizontal="center" vertical="center"/>
    </xf>
    <xf numFmtId="49" fontId="36" fillId="31" borderId="17" xfId="46" applyNumberFormat="1" applyFont="1" applyFill="1" applyBorder="1" applyAlignment="1">
      <alignment horizontal="center" vertical="center"/>
    </xf>
    <xf numFmtId="0" fontId="36" fillId="31" borderId="59" xfId="46" applyFont="1" applyFill="1" applyBorder="1" applyAlignment="1">
      <alignment horizontal="center" vertical="center" wrapText="1"/>
    </xf>
    <xf numFmtId="0" fontId="36" fillId="24" borderId="62" xfId="46" applyFont="1" applyFill="1" applyBorder="1" applyAlignment="1">
      <alignment horizontal="center" vertical="center"/>
    </xf>
    <xf numFmtId="0" fontId="36" fillId="24" borderId="10" xfId="46" applyFont="1" applyFill="1" applyBorder="1" applyAlignment="1">
      <alignment horizontal="center" vertical="center"/>
    </xf>
    <xf numFmtId="0" fontId="27" fillId="0" borderId="13" xfId="46" applyFont="1" applyBorder="1" applyAlignment="1">
      <alignment horizontal="center" vertical="center"/>
    </xf>
    <xf numFmtId="0" fontId="27" fillId="25" borderId="15" xfId="46" applyFont="1" applyFill="1" applyBorder="1" applyAlignment="1">
      <alignment horizontal="center" vertical="center"/>
    </xf>
    <xf numFmtId="0" fontId="27" fillId="25" borderId="58" xfId="46" applyFont="1" applyFill="1" applyBorder="1" applyAlignment="1">
      <alignment horizontal="center" vertical="center"/>
    </xf>
    <xf numFmtId="0" fontId="27" fillId="24" borderId="45" xfId="46" applyFont="1" applyFill="1" applyBorder="1" applyAlignment="1">
      <alignment horizontal="center" vertical="center"/>
    </xf>
    <xf numFmtId="0" fontId="27" fillId="0" borderId="22" xfId="46" applyFont="1" applyBorder="1" applyAlignment="1">
      <alignment horizontal="center"/>
    </xf>
    <xf numFmtId="0" fontId="27" fillId="0" borderId="55" xfId="46" applyFont="1" applyBorder="1" applyAlignment="1">
      <alignment horizontal="center" vertical="center"/>
    </xf>
    <xf numFmtId="0" fontId="36" fillId="0" borderId="36" xfId="57" applyFont="1" applyBorder="1" applyAlignment="1">
      <alignment vertical="center" wrapText="1"/>
    </xf>
    <xf numFmtId="167" fontId="27" fillId="0" borderId="13" xfId="57" applyNumberFormat="1" applyFont="1" applyBorder="1" applyAlignment="1">
      <alignment horizontal="center" vertical="center" wrapText="1"/>
    </xf>
    <xf numFmtId="167" fontId="27" fillId="0" borderId="59" xfId="57" applyNumberFormat="1" applyFont="1" applyBorder="1" applyAlignment="1">
      <alignment horizontal="center" vertical="center" wrapText="1"/>
    </xf>
    <xf numFmtId="167" fontId="27" fillId="0" borderId="55" xfId="57" applyNumberFormat="1" applyFont="1" applyBorder="1" applyAlignment="1">
      <alignment horizontal="center" vertical="center" wrapText="1"/>
    </xf>
    <xf numFmtId="1" fontId="27" fillId="25" borderId="15" xfId="57" applyNumberFormat="1" applyFont="1" applyFill="1" applyBorder="1" applyAlignment="1">
      <alignment horizontal="center" vertical="center" wrapText="1"/>
    </xf>
    <xf numFmtId="1" fontId="27" fillId="25" borderId="16" xfId="57" applyNumberFormat="1" applyFont="1" applyFill="1" applyBorder="1" applyAlignment="1">
      <alignment horizontal="center" vertical="center" wrapText="1"/>
    </xf>
    <xf numFmtId="1" fontId="27" fillId="0" borderId="14" xfId="57" applyNumberFormat="1" applyFont="1" applyBorder="1" applyAlignment="1">
      <alignment horizontal="center" vertical="center" wrapText="1"/>
    </xf>
    <xf numFmtId="167" fontId="27" fillId="0" borderId="44" xfId="57" applyNumberFormat="1" applyFont="1" applyBorder="1" applyAlignment="1">
      <alignment horizontal="center" vertical="center" wrapText="1"/>
    </xf>
    <xf numFmtId="167" fontId="27" fillId="0" borderId="62" xfId="57" applyNumberFormat="1" applyFont="1" applyBorder="1" applyAlignment="1">
      <alignment horizontal="center" vertical="center" wrapText="1"/>
    </xf>
    <xf numFmtId="1" fontId="27" fillId="25" borderId="15" xfId="57" applyNumberFormat="1" applyFont="1" applyFill="1" applyBorder="1" applyAlignment="1">
      <alignment horizontal="center" vertical="center"/>
    </xf>
    <xf numFmtId="1" fontId="27" fillId="25" borderId="16" xfId="57" applyNumberFormat="1" applyFont="1" applyFill="1" applyBorder="1" applyAlignment="1">
      <alignment horizontal="center" vertical="center"/>
    </xf>
    <xf numFmtId="167" fontId="27" fillId="28" borderId="38" xfId="57" applyNumberFormat="1" applyFont="1" applyFill="1" applyBorder="1" applyAlignment="1">
      <alignment horizontal="right" vertical="center" wrapText="1"/>
    </xf>
    <xf numFmtId="167" fontId="27" fillId="28" borderId="39" xfId="57" applyNumberFormat="1" applyFont="1" applyFill="1" applyBorder="1" applyAlignment="1">
      <alignment horizontal="right" vertical="center" wrapText="1"/>
    </xf>
    <xf numFmtId="167" fontId="27" fillId="0" borderId="55" xfId="57" applyNumberFormat="1" applyFont="1" applyBorder="1" applyAlignment="1">
      <alignment horizontal="center" vertical="center"/>
    </xf>
    <xf numFmtId="167" fontId="27" fillId="28" borderId="53" xfId="57" applyNumberFormat="1" applyFont="1" applyFill="1" applyBorder="1" applyAlignment="1">
      <alignment horizontal="right" vertical="center" wrapText="1"/>
    </xf>
    <xf numFmtId="167" fontId="27" fillId="28" borderId="60" xfId="57" applyNumberFormat="1" applyFont="1" applyFill="1" applyBorder="1" applyAlignment="1">
      <alignment horizontal="right" vertical="center" wrapText="1"/>
    </xf>
    <xf numFmtId="167" fontId="27" fillId="0" borderId="59" xfId="57" applyNumberFormat="1" applyFont="1" applyBorder="1" applyAlignment="1">
      <alignment horizontal="center" vertical="center"/>
    </xf>
    <xf numFmtId="1" fontId="27" fillId="24" borderId="19" xfId="57" applyNumberFormat="1" applyFont="1" applyFill="1" applyBorder="1" applyAlignment="1">
      <alignment horizontal="center" vertical="center" wrapText="1"/>
    </xf>
    <xf numFmtId="1" fontId="27" fillId="25" borderId="82" xfId="57" applyNumberFormat="1" applyFont="1" applyFill="1" applyBorder="1" applyAlignment="1">
      <alignment horizontal="center" vertical="center" wrapText="1"/>
    </xf>
    <xf numFmtId="1" fontId="27" fillId="25" borderId="11" xfId="57" applyNumberFormat="1" applyFont="1" applyFill="1" applyBorder="1" applyAlignment="1">
      <alignment horizontal="center" vertical="center" wrapText="1"/>
    </xf>
    <xf numFmtId="167" fontId="27" fillId="0" borderId="31" xfId="57" applyNumberFormat="1" applyFont="1" applyBorder="1" applyAlignment="1">
      <alignment horizontal="center" vertical="center" wrapText="1"/>
    </xf>
    <xf numFmtId="167" fontId="27" fillId="0" borderId="24" xfId="57" applyNumberFormat="1" applyFont="1" applyBorder="1" applyAlignment="1">
      <alignment horizontal="center" vertical="center" wrapText="1"/>
    </xf>
    <xf numFmtId="167" fontId="27" fillId="0" borderId="59" xfId="57" applyNumberFormat="1" applyFont="1" applyFill="1" applyBorder="1" applyAlignment="1">
      <alignment horizontal="center" vertical="center" wrapText="1"/>
    </xf>
    <xf numFmtId="167" fontId="27" fillId="31" borderId="59" xfId="57" applyNumberFormat="1" applyFont="1" applyFill="1" applyBorder="1" applyAlignment="1">
      <alignment horizontal="center" vertical="center" wrapText="1"/>
    </xf>
    <xf numFmtId="167" fontId="27" fillId="31" borderId="55" xfId="57" applyNumberFormat="1" applyFont="1" applyFill="1" applyBorder="1" applyAlignment="1">
      <alignment horizontal="center" vertical="center" wrapText="1"/>
    </xf>
    <xf numFmtId="167" fontId="27" fillId="0" borderId="31" xfId="57" applyNumberFormat="1" applyFont="1" applyBorder="1" applyAlignment="1">
      <alignment horizontal="center" vertical="center"/>
    </xf>
    <xf numFmtId="1" fontId="27" fillId="25" borderId="11" xfId="57" applyNumberFormat="1" applyFont="1" applyFill="1" applyBorder="1" applyAlignment="1">
      <alignment horizontal="center" vertical="center"/>
    </xf>
    <xf numFmtId="167" fontId="27" fillId="0" borderId="17" xfId="57" applyNumberFormat="1" applyFont="1" applyBorder="1" applyAlignment="1">
      <alignment horizontal="center" vertical="center" wrapText="1"/>
    </xf>
    <xf numFmtId="167" fontId="27" fillId="0" borderId="24" xfId="57" applyNumberFormat="1" applyFont="1" applyBorder="1" applyAlignment="1">
      <alignment horizontal="center" vertical="center" textRotation="90"/>
    </xf>
    <xf numFmtId="167" fontId="27" fillId="0" borderId="14" xfId="57" applyNumberFormat="1" applyFont="1" applyBorder="1" applyAlignment="1">
      <alignment horizontal="center" vertical="center" wrapText="1"/>
    </xf>
    <xf numFmtId="167" fontId="27" fillId="0" borderId="28" xfId="57" applyNumberFormat="1" applyFont="1" applyBorder="1" applyAlignment="1">
      <alignment horizontal="center" vertical="center" wrapText="1"/>
    </xf>
    <xf numFmtId="167" fontId="27" fillId="0" borderId="11" xfId="57" applyNumberFormat="1" applyFont="1" applyBorder="1" applyAlignment="1">
      <alignment horizontal="center" vertical="center" wrapText="1"/>
    </xf>
    <xf numFmtId="167" fontId="27" fillId="0" borderId="15" xfId="57" applyNumberFormat="1" applyFont="1" applyBorder="1" applyAlignment="1">
      <alignment horizontal="center" vertical="center" wrapText="1"/>
    </xf>
    <xf numFmtId="167" fontId="27" fillId="0" borderId="46" xfId="57" applyNumberFormat="1" applyFont="1" applyBorder="1" applyAlignment="1">
      <alignment horizontal="center" vertical="center" wrapText="1"/>
    </xf>
    <xf numFmtId="167" fontId="27" fillId="0" borderId="24" xfId="57" applyNumberFormat="1" applyFont="1" applyBorder="1" applyAlignment="1">
      <alignment horizontal="center" vertical="center" textRotation="90" wrapText="1"/>
    </xf>
    <xf numFmtId="167" fontId="27" fillId="0" borderId="12" xfId="57" applyNumberFormat="1" applyFont="1" applyBorder="1" applyAlignment="1">
      <alignment horizontal="center" vertical="center" wrapText="1"/>
    </xf>
    <xf numFmtId="167" fontId="27" fillId="0" borderId="26" xfId="57" applyNumberFormat="1" applyFont="1" applyBorder="1" applyAlignment="1">
      <alignment horizontal="center" vertical="center" wrapText="1"/>
    </xf>
    <xf numFmtId="167" fontId="27" fillId="0" borderId="25" xfId="57" applyNumberFormat="1" applyFont="1" applyBorder="1" applyAlignment="1">
      <alignment horizontal="center" vertical="center" wrapText="1"/>
    </xf>
    <xf numFmtId="167" fontId="27" fillId="0" borderId="25" xfId="52" applyNumberFormat="1" applyFont="1" applyBorder="1" applyAlignment="1">
      <alignment horizontal="center" vertical="center" wrapText="1"/>
    </xf>
    <xf numFmtId="167" fontId="27" fillId="0" borderId="12" xfId="52" applyNumberFormat="1" applyFont="1" applyBorder="1" applyAlignment="1">
      <alignment horizontal="center" vertical="center" wrapText="1"/>
    </xf>
    <xf numFmtId="167" fontId="27" fillId="0" borderId="26" xfId="52" applyNumberFormat="1" applyFont="1" applyBorder="1" applyAlignment="1">
      <alignment horizontal="center" vertical="center" wrapText="1"/>
    </xf>
    <xf numFmtId="0" fontId="27" fillId="25" borderId="58" xfId="52" applyFont="1" applyFill="1" applyBorder="1" applyAlignment="1">
      <alignment horizontal="center" vertical="center" wrapText="1"/>
    </xf>
    <xf numFmtId="0" fontId="27" fillId="0" borderId="31" xfId="52" applyFont="1" applyBorder="1" applyAlignment="1">
      <alignment horizontal="center" vertical="center" wrapText="1"/>
    </xf>
    <xf numFmtId="0" fontId="27" fillId="0" borderId="14" xfId="52" applyFont="1" applyBorder="1" applyAlignment="1">
      <alignment horizontal="center" vertical="center" wrapText="1"/>
    </xf>
    <xf numFmtId="0" fontId="27" fillId="25" borderId="15" xfId="52" applyFont="1" applyFill="1" applyBorder="1" applyAlignment="1">
      <alignment horizontal="center" vertical="center" wrapText="1"/>
    </xf>
    <xf numFmtId="0" fontId="27" fillId="0" borderId="45" xfId="52" applyFont="1" applyBorder="1" applyAlignment="1">
      <alignment horizontal="center" vertical="center" wrapText="1"/>
    </xf>
    <xf numFmtId="0" fontId="27" fillId="0" borderId="10" xfId="52" applyFont="1" applyBorder="1" applyAlignment="1">
      <alignment horizontal="center" vertical="center" wrapText="1"/>
    </xf>
    <xf numFmtId="49" fontId="27" fillId="0" borderId="14" xfId="52" applyNumberFormat="1" applyFont="1" applyBorder="1" applyAlignment="1">
      <alignment horizontal="center" vertical="center" wrapText="1"/>
    </xf>
    <xf numFmtId="0" fontId="27" fillId="0" borderId="55" xfId="52" applyFont="1" applyBorder="1" applyAlignment="1">
      <alignment horizontal="center" vertical="center" wrapText="1"/>
    </xf>
    <xf numFmtId="0" fontId="27" fillId="0" borderId="62" xfId="52" applyFont="1" applyBorder="1" applyAlignment="1">
      <alignment horizontal="center" vertical="center" wrapText="1"/>
    </xf>
    <xf numFmtId="0" fontId="27" fillId="0" borderId="13" xfId="52" applyFont="1" applyBorder="1" applyAlignment="1">
      <alignment horizontal="center" vertical="center" wrapText="1"/>
    </xf>
    <xf numFmtId="0" fontId="27" fillId="0" borderId="52" xfId="52" applyFont="1" applyBorder="1" applyAlignment="1">
      <alignment horizontal="center" vertical="center" wrapText="1"/>
    </xf>
    <xf numFmtId="0" fontId="27" fillId="24" borderId="14" xfId="52" applyFont="1" applyFill="1" applyBorder="1" applyAlignment="1">
      <alignment horizontal="center" vertical="center" wrapText="1"/>
    </xf>
    <xf numFmtId="0" fontId="27" fillId="0" borderId="17" xfId="52" applyFont="1" applyBorder="1" applyAlignment="1">
      <alignment horizontal="center" vertical="center" wrapText="1"/>
    </xf>
    <xf numFmtId="0" fontId="27" fillId="24" borderId="10" xfId="52" applyFont="1" applyFill="1" applyBorder="1" applyAlignment="1">
      <alignment horizontal="center" vertical="center" wrapText="1"/>
    </xf>
    <xf numFmtId="0" fontId="27" fillId="31" borderId="31" xfId="52" applyFont="1" applyFill="1" applyBorder="1" applyAlignment="1">
      <alignment horizontal="center" vertical="center" wrapText="1"/>
    </xf>
    <xf numFmtId="167" fontId="27" fillId="0" borderId="28" xfId="0" applyNumberFormat="1" applyFont="1" applyBorder="1" applyAlignment="1">
      <alignment horizontal="center" vertical="center" wrapText="1"/>
    </xf>
    <xf numFmtId="167" fontId="27" fillId="0" borderId="14" xfId="0" applyNumberFormat="1" applyFont="1" applyBorder="1" applyAlignment="1">
      <alignment horizontal="center" vertical="center" wrapText="1"/>
    </xf>
    <xf numFmtId="0" fontId="36" fillId="26" borderId="17" xfId="46" applyFont="1" applyFill="1" applyBorder="1" applyAlignment="1">
      <alignment horizontal="center" vertical="center" wrapText="1"/>
    </xf>
    <xf numFmtId="0" fontId="36" fillId="26" borderId="78" xfId="46" applyFont="1" applyFill="1" applyBorder="1" applyAlignment="1">
      <alignment horizontal="center" vertical="center" wrapText="1"/>
    </xf>
    <xf numFmtId="0" fontId="27" fillId="26" borderId="17" xfId="46" applyFont="1" applyFill="1" applyBorder="1" applyAlignment="1">
      <alignment horizontal="center" vertical="center" wrapText="1"/>
    </xf>
    <xf numFmtId="0" fontId="36" fillId="26" borderId="14" xfId="46" applyFont="1" applyFill="1" applyBorder="1" applyAlignment="1">
      <alignment horizontal="center" vertical="center" wrapText="1"/>
    </xf>
    <xf numFmtId="0" fontId="27" fillId="26" borderId="14" xfId="46" applyFont="1" applyFill="1" applyBorder="1" applyAlignment="1">
      <alignment horizontal="left" vertical="center" wrapText="1"/>
    </xf>
    <xf numFmtId="0" fontId="27" fillId="26" borderId="29" xfId="46" applyFont="1" applyFill="1" applyBorder="1" applyAlignment="1">
      <alignment horizontal="center" vertical="center" wrapText="1"/>
    </xf>
    <xf numFmtId="0" fontId="36" fillId="26" borderId="34" xfId="46" applyFont="1" applyFill="1" applyBorder="1" applyAlignment="1">
      <alignment horizontal="center" vertical="center" wrapText="1"/>
    </xf>
    <xf numFmtId="0" fontId="36" fillId="26" borderId="35" xfId="46" applyFont="1" applyFill="1" applyBorder="1" applyAlignment="1">
      <alignment horizontal="center" vertical="center" wrapText="1"/>
    </xf>
    <xf numFmtId="0" fontId="27" fillId="26" borderId="14" xfId="46" applyFont="1" applyFill="1" applyBorder="1" applyAlignment="1">
      <alignment horizontal="center" vertical="center" wrapText="1"/>
    </xf>
    <xf numFmtId="0" fontId="36" fillId="26" borderId="28" xfId="46" applyFont="1" applyFill="1" applyBorder="1" applyAlignment="1">
      <alignment horizontal="center" vertical="center" wrapText="1"/>
    </xf>
    <xf numFmtId="0" fontId="36" fillId="0" borderId="62" xfId="46" applyFont="1" applyBorder="1" applyAlignment="1">
      <alignment horizontal="center" vertical="center"/>
    </xf>
    <xf numFmtId="0" fontId="36" fillId="26" borderId="45" xfId="46" applyFont="1" applyFill="1" applyBorder="1" applyAlignment="1">
      <alignment horizontal="center" vertical="center" wrapText="1"/>
    </xf>
    <xf numFmtId="0" fontId="36" fillId="26" borderId="14" xfId="46" applyFont="1" applyFill="1" applyBorder="1" applyAlignment="1">
      <alignment horizontal="center" vertical="center"/>
    </xf>
    <xf numFmtId="0" fontId="36" fillId="0" borderId="45" xfId="46" applyFont="1" applyBorder="1" applyAlignment="1">
      <alignment horizontal="center" vertical="center"/>
    </xf>
    <xf numFmtId="0" fontId="36" fillId="31" borderId="10" xfId="46" applyFont="1" applyFill="1" applyBorder="1" applyAlignment="1">
      <alignment horizontal="center" vertical="center" wrapText="1"/>
    </xf>
    <xf numFmtId="0" fontId="36" fillId="31" borderId="17" xfId="46" applyFont="1" applyFill="1" applyBorder="1" applyAlignment="1">
      <alignment horizontal="center" vertical="center" wrapText="1"/>
    </xf>
    <xf numFmtId="0" fontId="27" fillId="31" borderId="17" xfId="46" applyFont="1" applyFill="1" applyBorder="1" applyAlignment="1">
      <alignment horizontal="center" vertical="center"/>
    </xf>
    <xf numFmtId="0" fontId="36" fillId="31" borderId="17" xfId="46" applyFont="1" applyFill="1" applyBorder="1" applyAlignment="1">
      <alignment horizontal="center" vertical="center"/>
    </xf>
    <xf numFmtId="0" fontId="27" fillId="26" borderId="46" xfId="46" applyFont="1" applyFill="1" applyBorder="1" applyAlignment="1">
      <alignment horizontal="center" vertical="center" wrapText="1"/>
    </xf>
    <xf numFmtId="0" fontId="36" fillId="26" borderId="31" xfId="46" applyFont="1" applyFill="1" applyBorder="1" applyAlignment="1">
      <alignment horizontal="center" vertical="center"/>
    </xf>
    <xf numFmtId="0" fontId="36" fillId="26" borderId="28" xfId="46" applyFont="1" applyFill="1" applyBorder="1" applyAlignment="1">
      <alignment horizontal="center" vertical="center"/>
    </xf>
    <xf numFmtId="0" fontId="36" fillId="26" borderId="20" xfId="46" applyFont="1" applyFill="1" applyBorder="1" applyAlignment="1">
      <alignment horizontal="center" vertical="center" wrapText="1"/>
    </xf>
    <xf numFmtId="0" fontId="36" fillId="26" borderId="13" xfId="46" applyFont="1" applyFill="1" applyBorder="1" applyAlignment="1">
      <alignment horizontal="center" vertical="center" wrapText="1"/>
    </xf>
    <xf numFmtId="0" fontId="36" fillId="26" borderId="59" xfId="46" applyFont="1" applyFill="1" applyBorder="1" applyAlignment="1">
      <alignment horizontal="center" vertical="center" wrapText="1"/>
    </xf>
    <xf numFmtId="0" fontId="36" fillId="26" borderId="31" xfId="46" applyFont="1" applyFill="1" applyBorder="1" applyAlignment="1">
      <alignment horizontal="center" vertical="center" wrapText="1"/>
    </xf>
    <xf numFmtId="0" fontId="36" fillId="26" borderId="62" xfId="46" applyFont="1" applyFill="1" applyBorder="1" applyAlignment="1">
      <alignment horizontal="center" vertical="center"/>
    </xf>
    <xf numFmtId="0" fontId="36" fillId="26" borderId="17" xfId="46" applyFont="1" applyFill="1" applyBorder="1" applyAlignment="1">
      <alignment horizontal="center" vertical="center"/>
    </xf>
    <xf numFmtId="0" fontId="36" fillId="26" borderId="29" xfId="46" applyFont="1" applyFill="1" applyBorder="1" applyAlignment="1">
      <alignment horizontal="center" vertical="center"/>
    </xf>
    <xf numFmtId="0" fontId="36" fillId="26" borderId="45" xfId="46" applyFont="1" applyFill="1" applyBorder="1" applyAlignment="1">
      <alignment horizontal="center" vertical="center"/>
    </xf>
    <xf numFmtId="0" fontId="36" fillId="26" borderId="13" xfId="46" applyFont="1" applyFill="1" applyBorder="1" applyAlignment="1">
      <alignment horizontal="center" vertical="center"/>
    </xf>
    <xf numFmtId="0" fontId="36" fillId="26" borderId="44" xfId="46" applyFont="1" applyFill="1" applyBorder="1" applyAlignment="1">
      <alignment horizontal="center" vertical="center" wrapText="1"/>
    </xf>
    <xf numFmtId="0" fontId="36" fillId="26" borderId="10" xfId="46" applyFont="1" applyFill="1" applyBorder="1" applyAlignment="1">
      <alignment horizontal="center" vertical="center" wrapText="1"/>
    </xf>
    <xf numFmtId="167" fontId="27" fillId="31" borderId="55" xfId="46" applyNumberFormat="1" applyFont="1" applyFill="1" applyBorder="1" applyAlignment="1">
      <alignment horizontal="center" vertical="center"/>
    </xf>
    <xf numFmtId="167" fontId="27" fillId="31" borderId="71" xfId="46" applyNumberFormat="1" applyFont="1" applyFill="1" applyBorder="1" applyAlignment="1">
      <alignment horizontal="center" vertical="center"/>
    </xf>
    <xf numFmtId="167" fontId="27" fillId="55" borderId="70" xfId="46" applyNumberFormat="1" applyFont="1" applyFill="1" applyBorder="1" applyAlignment="1">
      <alignment horizontal="center" vertical="center"/>
    </xf>
    <xf numFmtId="0" fontId="36" fillId="26" borderId="50" xfId="46" applyFont="1" applyFill="1" applyBorder="1" applyAlignment="1">
      <alignment horizontal="center" vertical="center"/>
    </xf>
    <xf numFmtId="0" fontId="36" fillId="26" borderId="71" xfId="46" applyFont="1" applyFill="1" applyBorder="1" applyAlignment="1">
      <alignment horizontal="center" vertical="center"/>
    </xf>
    <xf numFmtId="165" fontId="27" fillId="0" borderId="0" xfId="46" applyNumberFormat="1" applyFont="1" applyBorder="1"/>
    <xf numFmtId="167" fontId="27" fillId="0" borderId="0" xfId="46" applyNumberFormat="1" applyFont="1" applyBorder="1" applyAlignment="1">
      <alignment horizontal="center"/>
    </xf>
    <xf numFmtId="167" fontId="27" fillId="0" borderId="0" xfId="46" applyNumberFormat="1" applyFont="1" applyBorder="1"/>
    <xf numFmtId="0" fontId="27" fillId="31" borderId="0" xfId="46" applyFont="1" applyFill="1" applyBorder="1" applyAlignment="1">
      <alignment horizontal="center" vertical="center"/>
    </xf>
    <xf numFmtId="167" fontId="27" fillId="0" borderId="0" xfId="46" applyNumberFormat="1" applyFont="1" applyBorder="1" applyAlignment="1">
      <alignment horizontal="center" vertical="center"/>
    </xf>
    <xf numFmtId="0" fontId="36" fillId="0" borderId="0" xfId="46" applyFont="1" applyBorder="1" applyAlignment="1">
      <alignment horizontal="center" vertical="center" wrapText="1"/>
    </xf>
    <xf numFmtId="49" fontId="36" fillId="31" borderId="0" xfId="46" applyNumberFormat="1" applyFont="1" applyFill="1" applyBorder="1" applyAlignment="1">
      <alignment vertical="center"/>
    </xf>
    <xf numFmtId="167" fontId="27" fillId="0" borderId="51" xfId="46" applyNumberFormat="1" applyFont="1" applyBorder="1"/>
    <xf numFmtId="167" fontId="27" fillId="24" borderId="43" xfId="46" applyNumberFormat="1" applyFont="1" applyFill="1" applyBorder="1" applyAlignment="1">
      <alignment horizontal="center" vertical="center"/>
    </xf>
    <xf numFmtId="167" fontId="27" fillId="34" borderId="71" xfId="46" applyNumberFormat="1" applyFont="1" applyFill="1" applyBorder="1" applyAlignment="1">
      <alignment horizontal="center" vertical="center"/>
    </xf>
    <xf numFmtId="167" fontId="27" fillId="33" borderId="43" xfId="46" applyNumberFormat="1" applyFont="1" applyFill="1" applyBorder="1" applyAlignment="1">
      <alignment horizontal="center" vertical="center"/>
    </xf>
    <xf numFmtId="167" fontId="27" fillId="39" borderId="43" xfId="46" applyNumberFormat="1" applyFont="1" applyFill="1" applyBorder="1" applyAlignment="1">
      <alignment horizontal="center" vertical="center" wrapText="1"/>
    </xf>
    <xf numFmtId="167" fontId="27" fillId="0" borderId="37" xfId="46" applyNumberFormat="1" applyFont="1" applyBorder="1" applyAlignment="1">
      <alignment horizontal="center" vertical="center"/>
    </xf>
    <xf numFmtId="167" fontId="27" fillId="0" borderId="37" xfId="46" applyNumberFormat="1" applyFont="1" applyFill="1" applyBorder="1" applyAlignment="1">
      <alignment horizontal="center" vertical="center"/>
    </xf>
    <xf numFmtId="167" fontId="27" fillId="0" borderId="55" xfId="46" applyNumberFormat="1" applyFont="1" applyFill="1" applyBorder="1" applyAlignment="1">
      <alignment horizontal="center" vertical="center"/>
    </xf>
    <xf numFmtId="167" fontId="27" fillId="0" borderId="74" xfId="46" applyNumberFormat="1" applyFont="1" applyFill="1" applyBorder="1" applyAlignment="1">
      <alignment horizontal="center" vertical="center"/>
    </xf>
    <xf numFmtId="167" fontId="27" fillId="0" borderId="70" xfId="46" applyNumberFormat="1" applyFont="1" applyFill="1" applyBorder="1" applyAlignment="1">
      <alignment horizontal="center" vertical="center"/>
    </xf>
    <xf numFmtId="167" fontId="27" fillId="0" borderId="70" xfId="46" applyNumberFormat="1" applyFont="1" applyBorder="1" applyAlignment="1">
      <alignment horizontal="center" vertical="center"/>
    </xf>
    <xf numFmtId="0" fontId="27" fillId="31" borderId="35" xfId="46" applyFont="1" applyFill="1" applyBorder="1" applyAlignment="1">
      <alignment horizontal="center" vertical="center" wrapText="1"/>
    </xf>
    <xf numFmtId="167" fontId="27" fillId="0" borderId="15" xfId="46" applyNumberFormat="1" applyFont="1" applyBorder="1" applyAlignment="1">
      <alignment horizontal="center" vertical="center"/>
    </xf>
    <xf numFmtId="167" fontId="27" fillId="31" borderId="15" xfId="46" applyNumberFormat="1" applyFont="1" applyFill="1" applyBorder="1" applyAlignment="1">
      <alignment horizontal="center" vertical="center"/>
    </xf>
    <xf numFmtId="167" fontId="27" fillId="0" borderId="11" xfId="46" applyNumberFormat="1" applyFont="1" applyBorder="1" applyAlignment="1">
      <alignment horizontal="center" vertical="center"/>
    </xf>
    <xf numFmtId="167" fontId="36" fillId="31" borderId="25" xfId="46" applyNumberFormat="1" applyFont="1" applyFill="1" applyBorder="1" applyAlignment="1">
      <alignment horizontal="center" vertical="center"/>
    </xf>
    <xf numFmtId="167" fontId="36" fillId="31" borderId="26" xfId="46" applyNumberFormat="1" applyFont="1" applyFill="1" applyBorder="1" applyAlignment="1">
      <alignment horizontal="center" vertical="center"/>
    </xf>
    <xf numFmtId="167" fontId="36" fillId="0" borderId="11" xfId="46" applyNumberFormat="1" applyFont="1" applyBorder="1" applyAlignment="1">
      <alignment horizontal="center" vertical="center"/>
    </xf>
    <xf numFmtId="167" fontId="36" fillId="0" borderId="14" xfId="46" applyNumberFormat="1" applyFont="1" applyBorder="1" applyAlignment="1">
      <alignment horizontal="center" vertical="center"/>
    </xf>
    <xf numFmtId="167" fontId="36" fillId="0" borderId="28" xfId="46" applyNumberFormat="1" applyFont="1" applyBorder="1" applyAlignment="1">
      <alignment horizontal="center" vertical="center"/>
    </xf>
    <xf numFmtId="167" fontId="36" fillId="31" borderId="11" xfId="46" applyNumberFormat="1" applyFont="1" applyFill="1" applyBorder="1" applyAlignment="1">
      <alignment horizontal="center" vertical="center"/>
    </xf>
    <xf numFmtId="167" fontId="36" fillId="31" borderId="14" xfId="46" applyNumberFormat="1" applyFont="1" applyFill="1" applyBorder="1" applyAlignment="1">
      <alignment horizontal="center" vertical="center"/>
    </xf>
    <xf numFmtId="167" fontId="36" fillId="31" borderId="28" xfId="46" applyNumberFormat="1" applyFont="1" applyFill="1" applyBorder="1" applyAlignment="1">
      <alignment horizontal="center" vertical="center"/>
    </xf>
    <xf numFmtId="167" fontId="36" fillId="0" borderId="48" xfId="46" applyNumberFormat="1" applyFont="1" applyBorder="1" applyAlignment="1">
      <alignment horizontal="center" vertical="center"/>
    </xf>
    <xf numFmtId="167" fontId="36" fillId="0" borderId="29" xfId="46" applyNumberFormat="1" applyFont="1" applyBorder="1" applyAlignment="1">
      <alignment horizontal="center" vertical="center"/>
    </xf>
    <xf numFmtId="167" fontId="36" fillId="0" borderId="34" xfId="46" applyNumberFormat="1" applyFont="1" applyBorder="1" applyAlignment="1">
      <alignment horizontal="center" vertical="center"/>
    </xf>
    <xf numFmtId="167" fontId="36" fillId="31" borderId="48" xfId="46" applyNumberFormat="1" applyFont="1" applyFill="1" applyBorder="1" applyAlignment="1">
      <alignment horizontal="center" vertical="center"/>
    </xf>
    <xf numFmtId="167" fontId="36" fillId="31" borderId="29" xfId="46" applyNumberFormat="1" applyFont="1" applyFill="1" applyBorder="1" applyAlignment="1">
      <alignment horizontal="center" vertical="center"/>
    </xf>
    <xf numFmtId="167" fontId="36" fillId="31" borderId="34" xfId="46" applyNumberFormat="1" applyFont="1" applyFill="1" applyBorder="1" applyAlignment="1">
      <alignment horizontal="center" vertical="center"/>
    </xf>
    <xf numFmtId="167" fontId="27" fillId="31" borderId="54" xfId="46" applyNumberFormat="1" applyFont="1" applyFill="1" applyBorder="1" applyAlignment="1">
      <alignment horizontal="center" vertical="center"/>
    </xf>
    <xf numFmtId="167" fontId="27" fillId="0" borderId="16" xfId="46" applyNumberFormat="1" applyFont="1" applyFill="1" applyBorder="1" applyAlignment="1">
      <alignment horizontal="center" vertical="center" wrapText="1"/>
    </xf>
    <xf numFmtId="167" fontId="27" fillId="31" borderId="72" xfId="46" applyNumberFormat="1" applyFont="1" applyFill="1" applyBorder="1" applyAlignment="1">
      <alignment horizontal="center" vertical="center"/>
    </xf>
    <xf numFmtId="167" fontId="27" fillId="0" borderId="30" xfId="46" applyNumberFormat="1" applyFont="1" applyFill="1" applyBorder="1" applyAlignment="1">
      <alignment horizontal="center" vertical="center"/>
    </xf>
    <xf numFmtId="167" fontId="27" fillId="0" borderId="27" xfId="46" applyNumberFormat="1" applyFont="1" applyFill="1" applyBorder="1" applyAlignment="1">
      <alignment horizontal="center" vertical="center" wrapText="1"/>
    </xf>
    <xf numFmtId="167" fontId="27" fillId="0" borderId="43" xfId="46" applyNumberFormat="1" applyFont="1" applyBorder="1" applyAlignment="1">
      <alignment horizontal="center" vertical="center" wrapText="1"/>
    </xf>
    <xf numFmtId="167" fontId="27" fillId="0" borderId="63" xfId="46" applyNumberFormat="1" applyFont="1" applyBorder="1" applyAlignment="1">
      <alignment horizontal="center" vertical="center"/>
    </xf>
    <xf numFmtId="167" fontId="27" fillId="0" borderId="51" xfId="46" applyNumberFormat="1" applyFont="1" applyBorder="1" applyAlignment="1">
      <alignment horizontal="center" vertical="center"/>
    </xf>
    <xf numFmtId="167" fontId="27" fillId="0" borderId="19" xfId="46" applyNumberFormat="1" applyFont="1" applyFill="1" applyBorder="1" applyAlignment="1">
      <alignment horizontal="center" vertical="center"/>
    </xf>
    <xf numFmtId="0" fontId="27" fillId="31" borderId="20" xfId="46" applyFont="1" applyFill="1" applyBorder="1" applyAlignment="1">
      <alignment horizontal="center" vertical="center"/>
    </xf>
    <xf numFmtId="167" fontId="27" fillId="0" borderId="28" xfId="46" applyNumberFormat="1" applyFont="1" applyFill="1" applyBorder="1" applyAlignment="1">
      <alignment horizontal="center" vertical="center"/>
    </xf>
    <xf numFmtId="167" fontId="27" fillId="31" borderId="35" xfId="46" applyNumberFormat="1" applyFont="1" applyFill="1" applyBorder="1" applyAlignment="1" applyProtection="1">
      <alignment horizontal="center" vertical="center" wrapText="1"/>
      <protection locked="0"/>
    </xf>
    <xf numFmtId="14" fontId="5" fillId="0" borderId="60" xfId="46" applyNumberFormat="1" applyFont="1" applyBorder="1" applyAlignment="1">
      <alignment horizontal="center" vertical="center"/>
    </xf>
    <xf numFmtId="167" fontId="26" fillId="0" borderId="60" xfId="46" applyNumberFormat="1" applyFont="1" applyBorder="1"/>
    <xf numFmtId="167" fontId="27" fillId="0" borderId="60" xfId="46" applyNumberFormat="1" applyFont="1" applyBorder="1"/>
    <xf numFmtId="167" fontId="5" fillId="0" borderId="60" xfId="46" applyNumberFormat="1" applyFont="1" applyBorder="1" applyAlignment="1">
      <alignment vertical="center" wrapText="1"/>
    </xf>
    <xf numFmtId="167" fontId="27" fillId="24" borderId="50" xfId="46" applyNumberFormat="1" applyFont="1" applyFill="1" applyBorder="1" applyAlignment="1" applyProtection="1">
      <alignment horizontal="center" vertical="center" wrapText="1"/>
      <protection locked="0"/>
    </xf>
    <xf numFmtId="167" fontId="27" fillId="33" borderId="50" xfId="46" applyNumberFormat="1" applyFont="1" applyFill="1" applyBorder="1" applyAlignment="1">
      <alignment horizontal="center" vertical="center" wrapText="1"/>
    </xf>
    <xf numFmtId="167" fontId="27" fillId="0" borderId="0" xfId="46" applyNumberFormat="1" applyFont="1" applyBorder="1" applyAlignment="1">
      <alignment horizontal="center" vertical="center" wrapText="1"/>
    </xf>
    <xf numFmtId="167" fontId="27" fillId="0" borderId="0" xfId="46" applyNumberFormat="1" applyFont="1" applyBorder="1" applyAlignment="1" applyProtection="1">
      <alignment horizontal="center" vertical="center" wrapText="1"/>
      <protection locked="0"/>
    </xf>
    <xf numFmtId="167" fontId="27" fillId="24" borderId="43" xfId="46" applyNumberFormat="1" applyFont="1" applyFill="1" applyBorder="1" applyAlignment="1" applyProtection="1">
      <alignment horizontal="center" vertical="center" wrapText="1"/>
      <protection locked="0"/>
    </xf>
    <xf numFmtId="1" fontId="27" fillId="0" borderId="53" xfId="57" applyNumberFormat="1" applyFont="1" applyBorder="1"/>
    <xf numFmtId="1" fontId="27" fillId="0" borderId="60" xfId="57" applyNumberFormat="1" applyFont="1" applyBorder="1"/>
    <xf numFmtId="14" fontId="27" fillId="0" borderId="60" xfId="57" applyNumberFormat="1" applyFont="1" applyBorder="1"/>
    <xf numFmtId="0" fontId="27" fillId="0" borderId="60" xfId="57" applyFont="1" applyBorder="1"/>
    <xf numFmtId="0" fontId="27" fillId="0" borderId="60" xfId="57" applyFont="1" applyBorder="1" applyAlignment="1">
      <alignment horizontal="center"/>
    </xf>
    <xf numFmtId="167" fontId="27" fillId="0" borderId="60" xfId="57" applyNumberFormat="1" applyFont="1" applyBorder="1" applyAlignment="1">
      <alignment vertical="center" wrapText="1"/>
    </xf>
    <xf numFmtId="167" fontId="26" fillId="0" borderId="60" xfId="57" applyNumberFormat="1" applyFont="1" applyBorder="1"/>
    <xf numFmtId="167" fontId="27" fillId="0" borderId="60" xfId="57" applyNumberFormat="1" applyFont="1" applyBorder="1"/>
    <xf numFmtId="167" fontId="27" fillId="0" borderId="0" xfId="57" applyNumberFormat="1" applyFont="1" applyBorder="1"/>
    <xf numFmtId="167" fontId="27" fillId="0" borderId="0" xfId="57" applyNumberFormat="1" applyFont="1" applyBorder="1" applyAlignment="1">
      <alignment horizontal="center"/>
    </xf>
    <xf numFmtId="167" fontId="27" fillId="31" borderId="0" xfId="57" applyNumberFormat="1" applyFont="1" applyFill="1" applyBorder="1" applyAlignment="1">
      <alignment horizontal="center"/>
    </xf>
    <xf numFmtId="167" fontId="27" fillId="31" borderId="0" xfId="57" applyNumberFormat="1" applyFont="1" applyFill="1" applyBorder="1" applyAlignment="1">
      <alignment horizontal="center" vertical="center" wrapText="1"/>
    </xf>
    <xf numFmtId="167" fontId="27" fillId="31" borderId="0" xfId="57" applyNumberFormat="1" applyFont="1" applyFill="1" applyBorder="1" applyAlignment="1">
      <alignment horizontal="center" vertical="center"/>
    </xf>
    <xf numFmtId="167" fontId="27" fillId="0" borderId="0" xfId="57" applyNumberFormat="1" applyFont="1" applyBorder="1" applyAlignment="1">
      <alignment horizontal="center" vertical="center"/>
    </xf>
    <xf numFmtId="167" fontId="27" fillId="25" borderId="43" xfId="57" applyNumberFormat="1" applyFont="1" applyFill="1" applyBorder="1" applyAlignment="1">
      <alignment horizontal="center" vertical="center"/>
    </xf>
    <xf numFmtId="167" fontId="26" fillId="0" borderId="26" xfId="57" applyNumberFormat="1" applyFont="1" applyBorder="1" applyAlignment="1">
      <alignment horizontal="center" vertical="center"/>
    </xf>
    <xf numFmtId="0" fontId="27" fillId="0" borderId="31" xfId="46" applyFont="1" applyFill="1" applyBorder="1" applyAlignment="1">
      <alignment horizontal="left" vertical="center" wrapText="1"/>
    </xf>
    <xf numFmtId="167" fontId="25" fillId="0" borderId="0" xfId="46" applyNumberFormat="1" applyFont="1" applyBorder="1"/>
    <xf numFmtId="0" fontId="48" fillId="0" borderId="0" xfId="46" applyFont="1" applyBorder="1"/>
    <xf numFmtId="0" fontId="36" fillId="0" borderId="53" xfId="46" applyFont="1" applyBorder="1" applyAlignment="1">
      <alignment horizontal="center"/>
    </xf>
    <xf numFmtId="0" fontId="43" fillId="0" borderId="60" xfId="46" applyFont="1" applyBorder="1"/>
    <xf numFmtId="3" fontId="27" fillId="0" borderId="60" xfId="46" applyNumberFormat="1" applyFont="1" applyBorder="1"/>
    <xf numFmtId="167" fontId="27" fillId="32" borderId="23" xfId="46" applyNumberFormat="1" applyFont="1" applyFill="1" applyBorder="1" applyAlignment="1">
      <alignment horizontal="center" vertical="center"/>
    </xf>
    <xf numFmtId="167" fontId="26" fillId="34" borderId="43" xfId="46" applyNumberFormat="1" applyFont="1" applyFill="1" applyBorder="1" applyAlignment="1">
      <alignment horizontal="center" vertical="center"/>
    </xf>
    <xf numFmtId="167" fontId="26" fillId="31" borderId="26" xfId="46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7" fillId="31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67" fontId="27" fillId="0" borderId="0" xfId="0" applyNumberFormat="1" applyFont="1" applyBorder="1" applyAlignment="1">
      <alignment horizontal="center"/>
    </xf>
    <xf numFmtId="0" fontId="27" fillId="0" borderId="53" xfId="46" applyFont="1" applyBorder="1" applyAlignment="1">
      <alignment horizontal="left" vertical="center"/>
    </xf>
    <xf numFmtId="0" fontId="27" fillId="0" borderId="60" xfId="46" applyFont="1" applyBorder="1" applyAlignment="1">
      <alignment horizontal="left" vertical="center"/>
    </xf>
    <xf numFmtId="0" fontId="27" fillId="0" borderId="60" xfId="46" applyFont="1" applyBorder="1" applyAlignment="1">
      <alignment horizontal="left" vertical="center" wrapText="1"/>
    </xf>
    <xf numFmtId="0" fontId="27" fillId="0" borderId="60" xfId="46" applyFont="1" applyBorder="1" applyAlignment="1">
      <alignment vertical="center"/>
    </xf>
    <xf numFmtId="167" fontId="27" fillId="0" borderId="60" xfId="46" applyNumberFormat="1" applyFont="1" applyBorder="1" applyAlignment="1">
      <alignment horizontal="left" vertical="center"/>
    </xf>
    <xf numFmtId="167" fontId="5" fillId="0" borderId="60" xfId="46" applyNumberFormat="1" applyBorder="1" applyAlignment="1">
      <alignment vertical="center" wrapText="1"/>
    </xf>
    <xf numFmtId="0" fontId="27" fillId="0" borderId="0" xfId="46" applyFont="1" applyBorder="1" applyAlignment="1">
      <alignment horizontal="center"/>
    </xf>
    <xf numFmtId="0" fontId="25" fillId="0" borderId="0" xfId="46" applyFont="1" applyBorder="1" applyAlignment="1">
      <alignment vertical="center" wrapText="1"/>
    </xf>
    <xf numFmtId="0" fontId="25" fillId="31" borderId="0" xfId="46" applyFont="1" applyFill="1" applyBorder="1" applyAlignment="1">
      <alignment vertical="center" wrapText="1"/>
    </xf>
    <xf numFmtId="14" fontId="27" fillId="0" borderId="60" xfId="46" applyNumberFormat="1" applyFont="1" applyBorder="1" applyAlignment="1">
      <alignment horizontal="left"/>
    </xf>
    <xf numFmtId="0" fontId="27" fillId="0" borderId="60" xfId="46" applyFont="1" applyBorder="1" applyAlignment="1">
      <alignment horizontal="center" vertical="center"/>
    </xf>
    <xf numFmtId="0" fontId="5" fillId="0" borderId="60" xfId="46" applyBorder="1" applyAlignment="1">
      <alignment vertical="center" wrapText="1"/>
    </xf>
    <xf numFmtId="0" fontId="5" fillId="0" borderId="60" xfId="46" applyBorder="1" applyAlignment="1">
      <alignment wrapText="1"/>
    </xf>
    <xf numFmtId="167" fontId="26" fillId="0" borderId="0" xfId="46" applyNumberFormat="1" applyFont="1" applyBorder="1"/>
    <xf numFmtId="167" fontId="26" fillId="0" borderId="19" xfId="46" applyNumberFormat="1" applyFont="1" applyBorder="1" applyAlignment="1">
      <alignment horizontal="center" vertical="center" wrapText="1"/>
    </xf>
    <xf numFmtId="0" fontId="27" fillId="0" borderId="0" xfId="46" applyFont="1" applyFill="1"/>
    <xf numFmtId="0" fontId="27" fillId="33" borderId="22" xfId="46" applyFont="1" applyFill="1" applyBorder="1" applyAlignment="1">
      <alignment horizontal="center" vertical="center"/>
    </xf>
    <xf numFmtId="0" fontId="27" fillId="31" borderId="10" xfId="46" applyFont="1" applyFill="1" applyBorder="1" applyAlignment="1">
      <alignment horizontal="center" vertical="center"/>
    </xf>
    <xf numFmtId="167" fontId="27" fillId="32" borderId="53" xfId="46" applyNumberFormat="1" applyFont="1" applyFill="1" applyBorder="1" applyAlignment="1">
      <alignment horizontal="center" vertical="center"/>
    </xf>
    <xf numFmtId="167" fontId="27" fillId="32" borderId="44" xfId="46" applyNumberFormat="1" applyFont="1" applyFill="1" applyBorder="1" applyAlignment="1">
      <alignment horizontal="center" vertical="center"/>
    </xf>
    <xf numFmtId="0" fontId="27" fillId="0" borderId="0" xfId="52" applyFont="1" applyBorder="1"/>
    <xf numFmtId="0" fontId="26" fillId="0" borderId="0" xfId="52" applyFont="1" applyBorder="1" applyAlignment="1">
      <alignment horizontal="center"/>
    </xf>
    <xf numFmtId="0" fontId="8" fillId="0" borderId="0" xfId="52" applyBorder="1"/>
    <xf numFmtId="0" fontId="44" fillId="0" borderId="53" xfId="52" applyFont="1" applyBorder="1" applyAlignment="1">
      <alignment horizontal="center"/>
    </xf>
    <xf numFmtId="0" fontId="44" fillId="0" borderId="60" xfId="52" applyFont="1" applyBorder="1" applyAlignment="1">
      <alignment horizontal="center"/>
    </xf>
    <xf numFmtId="14" fontId="49" fillId="0" borderId="60" xfId="52" applyNumberFormat="1" applyFont="1" applyBorder="1" applyAlignment="1">
      <alignment horizontal="center" vertical="center"/>
    </xf>
    <xf numFmtId="0" fontId="44" fillId="0" borderId="60" xfId="52" applyFont="1" applyBorder="1"/>
    <xf numFmtId="0" fontId="44" fillId="0" borderId="60" xfId="52" applyFont="1" applyBorder="1" applyAlignment="1">
      <alignment horizontal="center" vertical="center"/>
    </xf>
    <xf numFmtId="0" fontId="50" fillId="0" borderId="60" xfId="52" applyFont="1" applyBorder="1"/>
    <xf numFmtId="167" fontId="5" fillId="0" borderId="60" xfId="52" applyNumberFormat="1" applyFont="1" applyBorder="1" applyAlignment="1">
      <alignment vertical="center" wrapText="1"/>
    </xf>
    <xf numFmtId="167" fontId="51" fillId="0" borderId="60" xfId="52" applyNumberFormat="1" applyFont="1" applyBorder="1"/>
    <xf numFmtId="0" fontId="44" fillId="0" borderId="22" xfId="52" applyFont="1" applyBorder="1" applyAlignment="1">
      <alignment horizontal="center"/>
    </xf>
    <xf numFmtId="0" fontId="44" fillId="0" borderId="0" xfId="52" applyFont="1" applyBorder="1" applyAlignment="1">
      <alignment horizontal="center"/>
    </xf>
    <xf numFmtId="0" fontId="44" fillId="0" borderId="0" xfId="52" applyFont="1" applyBorder="1" applyAlignment="1">
      <alignment horizontal="left"/>
    </xf>
    <xf numFmtId="0" fontId="44" fillId="0" borderId="0" xfId="52" applyFont="1" applyBorder="1"/>
    <xf numFmtId="0" fontId="50" fillId="0" borderId="0" xfId="52" applyFont="1" applyBorder="1"/>
    <xf numFmtId="167" fontId="52" fillId="0" borderId="0" xfId="52" applyNumberFormat="1" applyFont="1" applyBorder="1"/>
    <xf numFmtId="167" fontId="51" fillId="0" borderId="0" xfId="52" applyNumberFormat="1" applyFont="1" applyBorder="1"/>
    <xf numFmtId="167" fontId="27" fillId="24" borderId="118" xfId="52" applyNumberFormat="1" applyFont="1" applyFill="1" applyBorder="1" applyAlignment="1">
      <alignment horizontal="center" vertical="center" wrapText="1"/>
    </xf>
    <xf numFmtId="167" fontId="27" fillId="0" borderId="0" xfId="52" applyNumberFormat="1" applyFont="1" applyBorder="1" applyAlignment="1">
      <alignment horizontal="center" vertical="center" wrapText="1"/>
    </xf>
    <xf numFmtId="167" fontId="27" fillId="0" borderId="119" xfId="52" applyNumberFormat="1" applyFont="1" applyBorder="1" applyAlignment="1">
      <alignment horizontal="center" vertical="center" wrapText="1"/>
    </xf>
    <xf numFmtId="0" fontId="27" fillId="0" borderId="0" xfId="52" applyFont="1" applyBorder="1" applyAlignment="1">
      <alignment horizontal="center" vertical="center" wrapText="1"/>
    </xf>
    <xf numFmtId="0" fontId="36" fillId="0" borderId="24" xfId="46" applyFont="1" applyBorder="1" applyAlignment="1">
      <alignment horizontal="center" vertical="center" wrapText="1"/>
    </xf>
    <xf numFmtId="0" fontId="36" fillId="24" borderId="10" xfId="46" applyFont="1" applyFill="1" applyBorder="1" applyAlignment="1">
      <alignment horizontal="center" vertical="center"/>
    </xf>
    <xf numFmtId="0" fontId="36" fillId="25" borderId="16" xfId="46" applyFont="1" applyFill="1" applyBorder="1" applyAlignment="1">
      <alignment horizontal="center" vertical="center"/>
    </xf>
    <xf numFmtId="0" fontId="27" fillId="0" borderId="13" xfId="50" applyFont="1" applyBorder="1" applyAlignment="1">
      <alignment horizontal="center" vertical="center" wrapText="1"/>
    </xf>
    <xf numFmtId="167" fontId="27" fillId="24" borderId="40" xfId="50" applyNumberFormat="1" applyFont="1" applyFill="1" applyBorder="1" applyAlignment="1">
      <alignment horizontal="center" vertical="center"/>
    </xf>
    <xf numFmtId="0" fontId="27" fillId="26" borderId="28" xfId="46" applyFont="1" applyFill="1" applyBorder="1" applyAlignment="1" applyProtection="1">
      <alignment horizontal="center" vertical="center" wrapText="1"/>
      <protection locked="0"/>
    </xf>
    <xf numFmtId="167" fontId="27" fillId="0" borderId="46" xfId="46" applyNumberFormat="1" applyFont="1" applyBorder="1" applyAlignment="1" applyProtection="1">
      <alignment horizontal="center" vertical="center" wrapText="1"/>
      <protection locked="0"/>
    </xf>
    <xf numFmtId="167" fontId="27" fillId="0" borderId="36" xfId="46" applyNumberFormat="1" applyFont="1" applyBorder="1" applyAlignment="1" applyProtection="1">
      <alignment horizontal="center" vertical="center" wrapText="1"/>
      <protection locked="0"/>
    </xf>
    <xf numFmtId="167" fontId="26" fillId="0" borderId="26" xfId="46" applyNumberFormat="1" applyFont="1" applyBorder="1" applyAlignment="1" applyProtection="1">
      <alignment horizontal="center" vertical="center" wrapText="1"/>
      <protection locked="0"/>
    </xf>
    <xf numFmtId="167" fontId="26" fillId="0" borderId="28" xfId="46" applyNumberFormat="1" applyFont="1" applyBorder="1" applyAlignment="1" applyProtection="1">
      <alignment horizontal="center" vertical="center" wrapText="1"/>
      <protection locked="0"/>
    </xf>
    <xf numFmtId="167" fontId="26" fillId="31" borderId="35" xfId="46" applyNumberFormat="1" applyFont="1" applyFill="1" applyBorder="1" applyAlignment="1">
      <alignment horizontal="center" vertical="center"/>
    </xf>
    <xf numFmtId="167" fontId="26" fillId="27" borderId="52" xfId="46" applyNumberFormat="1" applyFont="1" applyFill="1" applyBorder="1" applyAlignment="1">
      <alignment horizontal="center" vertical="center"/>
    </xf>
    <xf numFmtId="167" fontId="26" fillId="27" borderId="60" xfId="46" applyNumberFormat="1" applyFont="1" applyFill="1" applyBorder="1" applyAlignment="1">
      <alignment horizontal="center" vertical="center"/>
    </xf>
    <xf numFmtId="167" fontId="26" fillId="31" borderId="20" xfId="46" applyNumberFormat="1" applyFont="1" applyFill="1" applyBorder="1" applyAlignment="1">
      <alignment horizontal="center" vertical="center"/>
    </xf>
    <xf numFmtId="167" fontId="27" fillId="0" borderId="14" xfId="46" applyNumberFormat="1" applyFont="1" applyBorder="1" applyAlignment="1">
      <alignment horizontal="center" vertical="center" wrapText="1"/>
    </xf>
    <xf numFmtId="167" fontId="27" fillId="0" borderId="28" xfId="46" applyNumberFormat="1" applyFont="1" applyBorder="1" applyAlignment="1">
      <alignment horizontal="center" vertical="center" wrapText="1"/>
    </xf>
    <xf numFmtId="167" fontId="27" fillId="0" borderId="27" xfId="46" applyNumberFormat="1" applyFont="1" applyBorder="1" applyAlignment="1">
      <alignment horizontal="center" vertical="center" wrapText="1"/>
    </xf>
    <xf numFmtId="167" fontId="27" fillId="0" borderId="12" xfId="46" applyNumberFormat="1" applyFont="1" applyBorder="1" applyAlignment="1">
      <alignment horizontal="center" vertical="center" wrapText="1"/>
    </xf>
    <xf numFmtId="167" fontId="27" fillId="0" borderId="26" xfId="46" applyNumberFormat="1" applyFont="1" applyBorder="1" applyAlignment="1">
      <alignment horizontal="center" vertical="center" wrapText="1"/>
    </xf>
    <xf numFmtId="167" fontId="27" fillId="0" borderId="25" xfId="46" applyNumberFormat="1" applyFont="1" applyBorder="1" applyAlignment="1">
      <alignment horizontal="center" vertical="center" wrapText="1"/>
    </xf>
    <xf numFmtId="0" fontId="27" fillId="0" borderId="12" xfId="46" applyFont="1" applyBorder="1" applyAlignment="1">
      <alignment horizontal="center" vertical="center" wrapText="1"/>
    </xf>
    <xf numFmtId="0" fontId="27" fillId="0" borderId="31" xfId="46" applyFont="1" applyBorder="1" applyAlignment="1">
      <alignment horizontal="center" vertical="center" wrapText="1"/>
    </xf>
    <xf numFmtId="0" fontId="27" fillId="0" borderId="14" xfId="46" applyFont="1" applyBorder="1" applyAlignment="1">
      <alignment horizontal="center" vertical="center" wrapText="1"/>
    </xf>
    <xf numFmtId="0" fontId="27" fillId="0" borderId="59" xfId="46" applyFont="1" applyBorder="1" applyAlignment="1">
      <alignment vertical="center" wrapText="1"/>
    </xf>
    <xf numFmtId="0" fontId="27" fillId="0" borderId="59" xfId="46" applyFont="1" applyBorder="1" applyAlignment="1">
      <alignment horizontal="center" vertical="center" wrapText="1"/>
    </xf>
    <xf numFmtId="0" fontId="27" fillId="0" borderId="62" xfId="46" applyFont="1" applyBorder="1" applyAlignment="1">
      <alignment horizontal="center" vertical="center" wrapText="1"/>
    </xf>
    <xf numFmtId="0" fontId="27" fillId="24" borderId="12" xfId="46" applyFont="1" applyFill="1" applyBorder="1" applyAlignment="1">
      <alignment horizontal="center" vertical="center" wrapText="1"/>
    </xf>
    <xf numFmtId="0" fontId="27" fillId="0" borderId="10" xfId="46" applyFont="1" applyBorder="1" applyAlignment="1">
      <alignment horizontal="center" vertical="center" wrapText="1"/>
    </xf>
    <xf numFmtId="0" fontId="27" fillId="0" borderId="17" xfId="46" applyFont="1" applyBorder="1" applyAlignment="1">
      <alignment horizontal="center" vertical="center" wrapText="1"/>
    </xf>
    <xf numFmtId="0" fontId="27" fillId="0" borderId="45" xfId="46" applyFont="1" applyBorder="1" applyAlignment="1">
      <alignment horizontal="center" vertical="center" wrapText="1"/>
    </xf>
    <xf numFmtId="0" fontId="25" fillId="33" borderId="11" xfId="46" applyFont="1" applyFill="1" applyBorder="1" applyAlignment="1">
      <alignment horizontal="center" vertical="center"/>
    </xf>
    <xf numFmtId="0" fontId="27" fillId="31" borderId="10" xfId="46" applyFont="1" applyFill="1" applyBorder="1" applyAlignment="1">
      <alignment horizontal="center" vertical="center" wrapText="1"/>
    </xf>
    <xf numFmtId="0" fontId="27" fillId="31" borderId="45" xfId="46" applyFont="1" applyFill="1" applyBorder="1" applyAlignment="1">
      <alignment horizontal="center" vertical="center" wrapText="1"/>
    </xf>
    <xf numFmtId="0" fontId="27" fillId="25" borderId="16" xfId="46" applyFont="1" applyFill="1" applyBorder="1" applyAlignment="1">
      <alignment horizontal="center" vertical="center" wrapText="1"/>
    </xf>
    <xf numFmtId="0" fontId="27" fillId="25" borderId="58" xfId="46" applyFont="1" applyFill="1" applyBorder="1" applyAlignment="1">
      <alignment horizontal="center" vertical="center" wrapText="1"/>
    </xf>
    <xf numFmtId="0" fontId="27" fillId="0" borderId="13" xfId="46" applyFont="1" applyBorder="1" applyAlignment="1">
      <alignment horizontal="center" vertical="center" wrapText="1"/>
    </xf>
    <xf numFmtId="0" fontId="27" fillId="0" borderId="55" xfId="46" applyFont="1" applyBorder="1" applyAlignment="1">
      <alignment horizontal="center" vertical="center" wrapText="1"/>
    </xf>
    <xf numFmtId="167" fontId="27" fillId="0" borderId="17" xfId="46" applyNumberFormat="1" applyFont="1" applyBorder="1" applyAlignment="1">
      <alignment horizontal="center" vertical="center" wrapText="1"/>
    </xf>
    <xf numFmtId="167" fontId="27" fillId="0" borderId="46" xfId="46" applyNumberFormat="1" applyFont="1" applyBorder="1" applyAlignment="1">
      <alignment horizontal="center" vertical="center" wrapText="1"/>
    </xf>
    <xf numFmtId="0" fontId="27" fillId="25" borderId="11" xfId="46" applyFont="1" applyFill="1" applyBorder="1" applyAlignment="1">
      <alignment horizontal="center" vertical="center" wrapText="1"/>
    </xf>
    <xf numFmtId="0" fontId="27" fillId="31" borderId="17" xfId="46" applyFont="1" applyFill="1" applyBorder="1" applyAlignment="1">
      <alignment horizontal="center" vertical="center" wrapText="1"/>
    </xf>
    <xf numFmtId="167" fontId="27" fillId="0" borderId="11" xfId="46" applyNumberFormat="1" applyFont="1" applyBorder="1" applyAlignment="1">
      <alignment horizontal="center" vertical="center" wrapText="1"/>
    </xf>
    <xf numFmtId="167" fontId="27" fillId="0" borderId="15" xfId="46" applyNumberFormat="1" applyFont="1" applyBorder="1" applyAlignment="1">
      <alignment horizontal="center" vertical="center" wrapText="1"/>
    </xf>
    <xf numFmtId="0" fontId="27" fillId="0" borderId="13" xfId="46" applyFont="1" applyBorder="1" applyAlignment="1">
      <alignment horizontal="center" vertical="center"/>
    </xf>
    <xf numFmtId="0" fontId="27" fillId="0" borderId="13" xfId="46" applyFont="1" applyBorder="1" applyAlignment="1" applyProtection="1">
      <alignment horizontal="center" vertical="center" wrapText="1"/>
      <protection locked="0"/>
    </xf>
    <xf numFmtId="0" fontId="27" fillId="0" borderId="55" xfId="46" applyFont="1" applyBorder="1" applyAlignment="1" applyProtection="1">
      <alignment horizontal="center" vertical="center" wrapText="1"/>
      <protection locked="0"/>
    </xf>
    <xf numFmtId="0" fontId="27" fillId="25" borderId="15" xfId="46" applyFont="1" applyFill="1" applyBorder="1" applyAlignment="1" applyProtection="1">
      <alignment horizontal="center" vertical="center" wrapText="1"/>
      <protection locked="0"/>
    </xf>
    <xf numFmtId="0" fontId="27" fillId="25" borderId="58" xfId="46" applyFont="1" applyFill="1" applyBorder="1" applyAlignment="1" applyProtection="1">
      <alignment horizontal="center" vertical="center" wrapText="1"/>
      <protection locked="0"/>
    </xf>
    <xf numFmtId="0" fontId="27" fillId="0" borderId="24" xfId="46" applyFont="1" applyBorder="1" applyAlignment="1" applyProtection="1">
      <alignment horizontal="center" vertical="center" wrapText="1"/>
      <protection locked="0"/>
    </xf>
    <xf numFmtId="0" fontId="27" fillId="0" borderId="59" xfId="46" applyFont="1" applyBorder="1" applyAlignment="1" applyProtection="1">
      <alignment horizontal="center" vertical="center" wrapText="1"/>
      <protection locked="0"/>
    </xf>
    <xf numFmtId="0" fontId="27" fillId="0" borderId="45" xfId="46" applyFont="1" applyBorder="1" applyAlignment="1" applyProtection="1">
      <alignment horizontal="center" vertical="center" wrapText="1"/>
      <protection locked="0"/>
    </xf>
    <xf numFmtId="0" fontId="27" fillId="0" borderId="62" xfId="46" applyFont="1" applyBorder="1" applyAlignment="1" applyProtection="1">
      <alignment horizontal="center" vertical="center" wrapText="1"/>
      <protection locked="0"/>
    </xf>
    <xf numFmtId="0" fontId="27" fillId="0" borderId="44" xfId="46" applyFont="1" applyBorder="1" applyAlignment="1" applyProtection="1">
      <alignment horizontal="center" vertical="center" wrapText="1"/>
      <protection locked="0"/>
    </xf>
    <xf numFmtId="0" fontId="27" fillId="0" borderId="59" xfId="46" applyFont="1" applyBorder="1" applyAlignment="1" applyProtection="1">
      <alignment horizontal="center" vertical="center"/>
      <protection locked="0"/>
    </xf>
    <xf numFmtId="0" fontId="27" fillId="25" borderId="16" xfId="46" applyFont="1" applyFill="1" applyBorder="1" applyAlignment="1" applyProtection="1">
      <alignment horizontal="center" vertical="center" wrapText="1"/>
      <protection locked="0"/>
    </xf>
    <xf numFmtId="0" fontId="27" fillId="0" borderId="52" xfId="46" applyFont="1" applyBorder="1" applyAlignment="1" applyProtection="1">
      <alignment horizontal="center" vertical="center" wrapText="1"/>
      <protection locked="0"/>
    </xf>
    <xf numFmtId="0" fontId="27" fillId="0" borderId="50" xfId="46" applyFont="1" applyBorder="1" applyAlignment="1" applyProtection="1">
      <alignment horizontal="center" vertical="center" wrapText="1"/>
      <protection locked="0"/>
    </xf>
    <xf numFmtId="0" fontId="27" fillId="0" borderId="19" xfId="46" applyFont="1" applyBorder="1" applyAlignment="1" applyProtection="1">
      <alignment horizontal="center" vertical="center" wrapText="1"/>
      <protection locked="0"/>
    </xf>
    <xf numFmtId="0" fontId="27" fillId="0" borderId="37" xfId="46" applyFont="1" applyBorder="1" applyAlignment="1" applyProtection="1">
      <alignment horizontal="center" vertical="center" wrapText="1"/>
      <protection locked="0"/>
    </xf>
    <xf numFmtId="0" fontId="27" fillId="0" borderId="23" xfId="46" applyFont="1" applyBorder="1" applyAlignment="1" applyProtection="1">
      <alignment horizontal="center" vertical="center" wrapText="1"/>
      <protection locked="0"/>
    </xf>
    <xf numFmtId="0" fontId="27" fillId="0" borderId="20" xfId="46" applyFont="1" applyBorder="1" applyAlignment="1" applyProtection="1">
      <alignment horizontal="center" vertical="center" wrapText="1"/>
      <protection locked="0"/>
    </xf>
    <xf numFmtId="0" fontId="27" fillId="0" borderId="10" xfId="46" applyFont="1" applyBorder="1" applyAlignment="1" applyProtection="1">
      <alignment horizontal="center" vertical="center" wrapText="1"/>
      <protection locked="0"/>
    </xf>
    <xf numFmtId="0" fontId="27" fillId="25" borderId="82" xfId="46" applyFont="1" applyFill="1" applyBorder="1" applyAlignment="1" applyProtection="1">
      <alignment horizontal="center" vertical="center" wrapText="1"/>
      <protection locked="0"/>
    </xf>
    <xf numFmtId="0" fontId="27" fillId="0" borderId="14" xfId="46" applyFont="1" applyBorder="1" applyAlignment="1" applyProtection="1">
      <alignment horizontal="center" vertical="center" wrapText="1"/>
      <protection locked="0"/>
    </xf>
    <xf numFmtId="0" fontId="27" fillId="0" borderId="28" xfId="46" applyFont="1" applyBorder="1" applyAlignment="1" applyProtection="1">
      <alignment horizontal="center" vertical="center" wrapText="1"/>
      <protection locked="0"/>
    </xf>
    <xf numFmtId="0" fontId="27" fillId="25" borderId="11" xfId="46" applyFont="1" applyFill="1" applyBorder="1" applyAlignment="1" applyProtection="1">
      <alignment horizontal="center" vertical="center" wrapText="1"/>
      <protection locked="0"/>
    </xf>
    <xf numFmtId="0" fontId="27" fillId="31" borderId="60" xfId="46" applyFont="1" applyFill="1" applyBorder="1" applyAlignment="1">
      <alignment horizontal="center" vertical="center" wrapText="1"/>
    </xf>
    <xf numFmtId="0" fontId="27" fillId="0" borderId="44" xfId="46" applyFont="1" applyBorder="1" applyAlignment="1">
      <alignment horizontal="center" vertical="center" wrapText="1"/>
    </xf>
    <xf numFmtId="167" fontId="27" fillId="0" borderId="14" xfId="0" applyNumberFormat="1" applyFont="1" applyBorder="1" applyAlignment="1">
      <alignment horizontal="center" vertical="center" wrapText="1"/>
    </xf>
    <xf numFmtId="9" fontId="5" fillId="0" borderId="0" xfId="58" applyFont="1"/>
    <xf numFmtId="167" fontId="27" fillId="31" borderId="0" xfId="46" applyNumberFormat="1" applyFont="1" applyFill="1" applyBorder="1" applyAlignment="1">
      <alignment horizontal="center" vertical="center"/>
    </xf>
    <xf numFmtId="167" fontId="27" fillId="24" borderId="71" xfId="46" applyNumberFormat="1" applyFont="1" applyFill="1" applyBorder="1" applyAlignment="1" applyProtection="1">
      <alignment horizontal="center" vertical="center" wrapText="1"/>
      <protection locked="0"/>
    </xf>
    <xf numFmtId="167" fontId="27" fillId="25" borderId="34" xfId="46" applyNumberFormat="1" applyFont="1" applyFill="1" applyBorder="1" applyAlignment="1" applyProtection="1">
      <alignment horizontal="center" vertical="center" wrapText="1"/>
      <protection locked="0"/>
    </xf>
    <xf numFmtId="167" fontId="26" fillId="0" borderId="27" xfId="0" applyNumberFormat="1" applyFont="1" applyFill="1" applyBorder="1" applyAlignment="1">
      <alignment horizontal="center" vertical="center"/>
    </xf>
    <xf numFmtId="167" fontId="26" fillId="0" borderId="12" xfId="0" applyNumberFormat="1" applyFont="1" applyFill="1" applyBorder="1" applyAlignment="1">
      <alignment horizontal="center" vertical="center"/>
    </xf>
    <xf numFmtId="167" fontId="26" fillId="0" borderId="26" xfId="0" applyNumberFormat="1" applyFont="1" applyFill="1" applyBorder="1" applyAlignment="1">
      <alignment horizontal="center" vertical="center"/>
    </xf>
    <xf numFmtId="167" fontId="26" fillId="0" borderId="25" xfId="0" applyNumberFormat="1" applyFont="1" applyFill="1" applyBorder="1" applyAlignment="1">
      <alignment horizontal="center" vertical="center"/>
    </xf>
    <xf numFmtId="167" fontId="26" fillId="0" borderId="32" xfId="0" applyNumberFormat="1" applyFont="1" applyFill="1" applyBorder="1" applyAlignment="1">
      <alignment horizontal="center" vertical="center"/>
    </xf>
    <xf numFmtId="167" fontId="26" fillId="0" borderId="14" xfId="0" applyNumberFormat="1" applyFont="1" applyFill="1" applyBorder="1" applyAlignment="1">
      <alignment horizontal="center" vertical="center"/>
    </xf>
    <xf numFmtId="167" fontId="26" fillId="0" borderId="28" xfId="0" applyNumberFormat="1" applyFont="1" applyFill="1" applyBorder="1" applyAlignment="1">
      <alignment horizontal="center" vertical="center"/>
    </xf>
    <xf numFmtId="167" fontId="26" fillId="0" borderId="11" xfId="0" applyNumberFormat="1" applyFont="1" applyFill="1" applyBorder="1" applyAlignment="1">
      <alignment horizontal="center" vertical="center"/>
    </xf>
    <xf numFmtId="167" fontId="26" fillId="0" borderId="46" xfId="0" applyNumberFormat="1" applyFont="1" applyFill="1" applyBorder="1" applyAlignment="1">
      <alignment horizontal="center" vertical="center"/>
    </xf>
    <xf numFmtId="167" fontId="26" fillId="0" borderId="17" xfId="0" applyNumberFormat="1" applyFont="1" applyFill="1" applyBorder="1" applyAlignment="1">
      <alignment horizontal="center" vertical="center"/>
    </xf>
    <xf numFmtId="167" fontId="26" fillId="0" borderId="16" xfId="0" applyNumberFormat="1" applyFont="1" applyFill="1" applyBorder="1" applyAlignment="1">
      <alignment horizontal="center" vertical="center" wrapText="1"/>
    </xf>
    <xf numFmtId="167" fontId="26" fillId="0" borderId="31" xfId="0" applyNumberFormat="1" applyFont="1" applyFill="1" applyBorder="1" applyAlignment="1">
      <alignment horizontal="center" vertical="center" wrapText="1"/>
    </xf>
    <xf numFmtId="167" fontId="26" fillId="0" borderId="19" xfId="0" applyNumberFormat="1" applyFont="1" applyFill="1" applyBorder="1" applyAlignment="1">
      <alignment horizontal="center" vertical="center" wrapText="1"/>
    </xf>
    <xf numFmtId="167" fontId="27" fillId="0" borderId="28" xfId="0" applyNumberFormat="1" applyFont="1" applyBorder="1" applyAlignment="1">
      <alignment horizontal="center" vertical="center" wrapText="1"/>
    </xf>
    <xf numFmtId="167" fontId="27" fillId="0" borderId="14" xfId="0" applyNumberFormat="1" applyFont="1" applyBorder="1" applyAlignment="1">
      <alignment horizontal="center" vertical="center" wrapText="1"/>
    </xf>
    <xf numFmtId="0" fontId="25" fillId="0" borderId="0" xfId="46" applyFont="1" applyAlignment="1">
      <alignment horizontal="center" vertical="center" wrapText="1"/>
    </xf>
    <xf numFmtId="0" fontId="25" fillId="0" borderId="0" xfId="46" applyFont="1" applyAlignment="1">
      <alignment horizontal="left" vertical="center" wrapText="1"/>
    </xf>
    <xf numFmtId="165" fontId="29" fillId="0" borderId="0" xfId="46" applyNumberFormat="1" applyFont="1" applyAlignment="1">
      <alignment horizontal="center" vertical="center" wrapText="1"/>
    </xf>
    <xf numFmtId="165" fontId="25" fillId="0" borderId="0" xfId="46" applyNumberFormat="1" applyFont="1" applyAlignment="1">
      <alignment horizontal="left" vertical="center" wrapText="1"/>
    </xf>
    <xf numFmtId="0" fontId="27" fillId="0" borderId="48" xfId="46" applyFont="1" applyBorder="1" applyAlignment="1">
      <alignment horizontal="left" vertical="center" wrapText="1"/>
    </xf>
    <xf numFmtId="0" fontId="27" fillId="0" borderId="29" xfId="46" applyFont="1" applyBorder="1" applyAlignment="1">
      <alignment horizontal="left" vertical="center" wrapText="1"/>
    </xf>
    <xf numFmtId="0" fontId="27" fillId="0" borderId="34" xfId="46" applyFont="1" applyBorder="1" applyAlignment="1">
      <alignment horizontal="left" vertical="center" wrapText="1"/>
    </xf>
    <xf numFmtId="0" fontId="26" fillId="0" borderId="63" xfId="46" applyFont="1" applyBorder="1" applyAlignment="1">
      <alignment horizontal="right" vertical="center" wrapText="1"/>
    </xf>
    <xf numFmtId="0" fontId="26" fillId="0" borderId="64" xfId="46" applyFont="1" applyBorder="1" applyAlignment="1">
      <alignment horizontal="right" vertical="center" wrapText="1"/>
    </xf>
    <xf numFmtId="0" fontId="27" fillId="0" borderId="0" xfId="46" applyFont="1" applyAlignment="1">
      <alignment horizontal="center" vertical="center" wrapText="1"/>
    </xf>
    <xf numFmtId="0" fontId="27" fillId="0" borderId="11" xfId="46" applyFont="1" applyBorder="1" applyAlignment="1">
      <alignment horizontal="left" vertical="center" wrapText="1"/>
    </xf>
    <xf numFmtId="0" fontId="27" fillId="0" borderId="14" xfId="46" applyFont="1" applyBorder="1" applyAlignment="1">
      <alignment horizontal="left" vertical="center" wrapText="1"/>
    </xf>
    <xf numFmtId="0" fontId="27" fillId="0" borderId="28" xfId="46" applyFont="1" applyBorder="1" applyAlignment="1">
      <alignment horizontal="left" vertical="center" wrapText="1"/>
    </xf>
    <xf numFmtId="0" fontId="27" fillId="0" borderId="18" xfId="46" applyFont="1" applyBorder="1" applyAlignment="1">
      <alignment horizontal="left" vertical="center" wrapText="1"/>
    </xf>
    <xf numFmtId="0" fontId="27" fillId="0" borderId="36" xfId="46" applyFont="1" applyBorder="1" applyAlignment="1">
      <alignment horizontal="left" vertical="center" wrapText="1"/>
    </xf>
    <xf numFmtId="0" fontId="27" fillId="0" borderId="47" xfId="46" applyFont="1" applyBorder="1" applyAlignment="1">
      <alignment horizontal="left" vertical="center" wrapText="1"/>
    </xf>
    <xf numFmtId="0" fontId="28" fillId="31" borderId="13" xfId="46" applyFont="1" applyFill="1" applyBorder="1" applyAlignment="1">
      <alignment horizontal="center" vertical="center" wrapText="1"/>
    </xf>
    <xf numFmtId="0" fontId="28" fillId="31" borderId="55" xfId="46" applyFont="1" applyFill="1" applyBorder="1" applyAlignment="1">
      <alignment horizontal="center" vertical="center" wrapText="1"/>
    </xf>
    <xf numFmtId="0" fontId="27" fillId="32" borderId="38" xfId="46" applyFont="1" applyFill="1" applyBorder="1" applyAlignment="1">
      <alignment horizontal="right" vertical="center" wrapText="1"/>
    </xf>
    <xf numFmtId="0" fontId="27" fillId="32" borderId="39" xfId="46" applyFont="1" applyFill="1" applyBorder="1" applyAlignment="1">
      <alignment horizontal="right" vertical="center" wrapText="1"/>
    </xf>
    <xf numFmtId="0" fontId="27" fillId="32" borderId="40" xfId="46" applyFont="1" applyFill="1" applyBorder="1" applyAlignment="1">
      <alignment horizontal="right" vertical="center" wrapText="1"/>
    </xf>
    <xf numFmtId="0" fontId="27" fillId="24" borderId="38" xfId="46" applyFont="1" applyFill="1" applyBorder="1" applyAlignment="1">
      <alignment horizontal="right" vertical="center" wrapText="1"/>
    </xf>
    <xf numFmtId="0" fontId="27" fillId="24" borderId="39" xfId="46" applyFont="1" applyFill="1" applyBorder="1" applyAlignment="1">
      <alignment horizontal="right" vertical="center" wrapText="1"/>
    </xf>
    <xf numFmtId="0" fontId="27" fillId="24" borderId="40" xfId="46" applyFont="1" applyFill="1" applyBorder="1" applyAlignment="1">
      <alignment horizontal="right" vertical="center" wrapText="1"/>
    </xf>
    <xf numFmtId="0" fontId="27" fillId="25" borderId="38" xfId="46" applyFont="1" applyFill="1" applyBorder="1" applyAlignment="1">
      <alignment horizontal="right" vertical="center" wrapText="1"/>
    </xf>
    <xf numFmtId="0" fontId="27" fillId="25" borderId="39" xfId="46" applyFont="1" applyFill="1" applyBorder="1" applyAlignment="1">
      <alignment horizontal="right" vertical="center" wrapText="1"/>
    </xf>
    <xf numFmtId="0" fontId="27" fillId="25" borderId="40" xfId="46" applyFont="1" applyFill="1" applyBorder="1" applyAlignment="1">
      <alignment horizontal="right" vertical="center" wrapText="1"/>
    </xf>
    <xf numFmtId="0" fontId="27" fillId="27" borderId="53" xfId="46" applyFont="1" applyFill="1" applyBorder="1" applyAlignment="1">
      <alignment horizontal="right" vertical="center" wrapText="1"/>
    </xf>
    <xf numFmtId="0" fontId="27" fillId="27" borderId="60" xfId="46" applyFont="1" applyFill="1" applyBorder="1" applyAlignment="1">
      <alignment horizontal="right" vertical="center" wrapText="1"/>
    </xf>
    <xf numFmtId="0" fontId="27" fillId="0" borderId="25" xfId="46" applyFont="1" applyBorder="1" applyAlignment="1">
      <alignment horizontal="left" vertical="center" wrapText="1"/>
    </xf>
    <xf numFmtId="0" fontId="27" fillId="0" borderId="12" xfId="46" applyFont="1" applyBorder="1" applyAlignment="1">
      <alignment horizontal="left" vertical="center" wrapText="1"/>
    </xf>
    <xf numFmtId="0" fontId="27" fillId="0" borderId="26" xfId="46" applyFont="1" applyBorder="1" applyAlignment="1">
      <alignment horizontal="left" vertical="center" wrapText="1"/>
    </xf>
    <xf numFmtId="0" fontId="27" fillId="25" borderId="15" xfId="46" applyFont="1" applyFill="1" applyBorder="1" applyAlignment="1">
      <alignment horizontal="center" vertical="center" wrapText="1"/>
    </xf>
    <xf numFmtId="0" fontId="27" fillId="25" borderId="58" xfId="46" applyFont="1" applyFill="1" applyBorder="1" applyAlignment="1">
      <alignment horizontal="center" vertical="center" wrapText="1"/>
    </xf>
    <xf numFmtId="0" fontId="27" fillId="25" borderId="16" xfId="46" applyFont="1" applyFill="1" applyBorder="1" applyAlignment="1">
      <alignment horizontal="center" vertical="center" wrapText="1"/>
    </xf>
    <xf numFmtId="0" fontId="27" fillId="24" borderId="24" xfId="46" applyFont="1" applyFill="1" applyBorder="1" applyAlignment="1">
      <alignment horizontal="center" vertical="center"/>
    </xf>
    <xf numFmtId="0" fontId="27" fillId="24" borderId="59" xfId="46" applyFont="1" applyFill="1" applyBorder="1" applyAlignment="1">
      <alignment horizontal="center" vertical="center"/>
    </xf>
    <xf numFmtId="0" fontId="27" fillId="24" borderId="31" xfId="46" applyFont="1" applyFill="1" applyBorder="1" applyAlignment="1">
      <alignment horizontal="center" vertical="center"/>
    </xf>
    <xf numFmtId="0" fontId="27" fillId="0" borderId="24" xfId="46" applyFont="1" applyBorder="1" applyAlignment="1">
      <alignment horizontal="center" vertical="center"/>
    </xf>
    <xf numFmtId="0" fontId="27" fillId="0" borderId="59" xfId="46" applyFont="1" applyBorder="1" applyAlignment="1">
      <alignment horizontal="center" vertical="center"/>
    </xf>
    <xf numFmtId="0" fontId="27" fillId="0" borderId="31" xfId="46" applyFont="1" applyBorder="1" applyAlignment="1">
      <alignment horizontal="center" vertical="center"/>
    </xf>
    <xf numFmtId="0" fontId="27" fillId="0" borderId="24" xfId="46" applyFont="1" applyFill="1" applyBorder="1" applyAlignment="1">
      <alignment horizontal="left" vertical="center" wrapText="1"/>
    </xf>
    <xf numFmtId="0" fontId="27" fillId="0" borderId="59" xfId="46" applyFont="1" applyFill="1" applyBorder="1" applyAlignment="1">
      <alignment horizontal="left" vertical="center" wrapText="1"/>
    </xf>
    <xf numFmtId="0" fontId="27" fillId="0" borderId="31" xfId="46" applyFont="1" applyFill="1" applyBorder="1" applyAlignment="1">
      <alignment horizontal="left" vertical="center" wrapText="1"/>
    </xf>
    <xf numFmtId="49" fontId="27" fillId="0" borderId="24" xfId="46" applyNumberFormat="1" applyFont="1" applyBorder="1" applyAlignment="1">
      <alignment horizontal="center" vertical="center" wrapText="1"/>
    </xf>
    <xf numFmtId="49" fontId="27" fillId="0" borderId="62" xfId="46" applyNumberFormat="1" applyFont="1" applyBorder="1" applyAlignment="1">
      <alignment horizontal="center" vertical="center" wrapText="1"/>
    </xf>
    <xf numFmtId="49" fontId="27" fillId="0" borderId="10" xfId="46" applyNumberFormat="1" applyFont="1" applyBorder="1" applyAlignment="1">
      <alignment horizontal="center" vertical="center" wrapText="1"/>
    </xf>
    <xf numFmtId="0" fontId="27" fillId="0" borderId="13" xfId="46" applyFont="1" applyBorder="1" applyAlignment="1">
      <alignment horizontal="center" vertical="center" wrapText="1"/>
    </xf>
    <xf numFmtId="0" fontId="27" fillId="0" borderId="55" xfId="46" applyFont="1" applyBorder="1" applyAlignment="1">
      <alignment horizontal="center" vertical="center" wrapText="1"/>
    </xf>
    <xf numFmtId="0" fontId="27" fillId="0" borderId="24" xfId="46" applyFont="1" applyBorder="1" applyAlignment="1">
      <alignment horizontal="left" vertical="center" wrapText="1"/>
    </xf>
    <xf numFmtId="0" fontId="27" fillId="0" borderId="59" xfId="46" applyFont="1" applyBorder="1" applyAlignment="1">
      <alignment horizontal="left" vertical="center" wrapText="1"/>
    </xf>
    <xf numFmtId="0" fontId="27" fillId="0" borderId="31" xfId="46" applyFont="1" applyBorder="1" applyAlignment="1">
      <alignment horizontal="left" vertical="center" wrapText="1"/>
    </xf>
    <xf numFmtId="0" fontId="28" fillId="31" borderId="59" xfId="46" applyFont="1" applyFill="1" applyBorder="1" applyAlignment="1">
      <alignment horizontal="center" vertical="center" wrapText="1"/>
    </xf>
    <xf numFmtId="0" fontId="27" fillId="32" borderId="41" xfId="46" applyFont="1" applyFill="1" applyBorder="1" applyAlignment="1">
      <alignment horizontal="right" vertical="center" wrapText="1"/>
    </xf>
    <xf numFmtId="0" fontId="27" fillId="32" borderId="42" xfId="46" applyFont="1" applyFill="1" applyBorder="1" applyAlignment="1">
      <alignment horizontal="right" vertical="center" wrapText="1"/>
    </xf>
    <xf numFmtId="0" fontId="27" fillId="32" borderId="43" xfId="46" applyFont="1" applyFill="1" applyBorder="1" applyAlignment="1">
      <alignment horizontal="right" vertical="center" wrapText="1"/>
    </xf>
    <xf numFmtId="0" fontId="27" fillId="0" borderId="24" xfId="46" applyFont="1" applyBorder="1" applyAlignment="1">
      <alignment horizontal="center" vertical="center" wrapText="1"/>
    </xf>
    <xf numFmtId="0" fontId="27" fillId="0" borderId="45" xfId="46" applyFont="1" applyBorder="1" applyAlignment="1">
      <alignment horizontal="center" vertical="center" wrapText="1"/>
    </xf>
    <xf numFmtId="0" fontId="27" fillId="0" borderId="62" xfId="46" applyFont="1" applyBorder="1" applyAlignment="1">
      <alignment horizontal="center" vertical="center" wrapText="1"/>
    </xf>
    <xf numFmtId="0" fontId="27" fillId="0" borderId="59" xfId="46" applyFont="1" applyBorder="1" applyAlignment="1">
      <alignment horizontal="center" vertical="center" wrapText="1"/>
    </xf>
    <xf numFmtId="14" fontId="27" fillId="0" borderId="13" xfId="46" applyNumberFormat="1" applyFont="1" applyBorder="1" applyAlignment="1">
      <alignment horizontal="center" vertical="center" wrapText="1"/>
    </xf>
    <xf numFmtId="14" fontId="27" fillId="0" borderId="59" xfId="46" applyNumberFormat="1" applyFont="1" applyBorder="1" applyAlignment="1">
      <alignment horizontal="center" vertical="center" wrapText="1"/>
    </xf>
    <xf numFmtId="0" fontId="27" fillId="28" borderId="38" xfId="46" applyFont="1" applyFill="1" applyBorder="1" applyAlignment="1">
      <alignment horizontal="right" vertical="center" wrapText="1"/>
    </xf>
    <xf numFmtId="0" fontId="27" fillId="28" borderId="39" xfId="46" applyFont="1" applyFill="1" applyBorder="1" applyAlignment="1">
      <alignment horizontal="right" vertical="center" wrapText="1"/>
    </xf>
    <xf numFmtId="0" fontId="27" fillId="28" borderId="40" xfId="46" applyFont="1" applyFill="1" applyBorder="1" applyAlignment="1">
      <alignment horizontal="right" vertical="center" wrapText="1"/>
    </xf>
    <xf numFmtId="0" fontId="27" fillId="33" borderId="15" xfId="46" applyFont="1" applyFill="1" applyBorder="1" applyAlignment="1">
      <alignment horizontal="center" vertical="center" wrapText="1"/>
    </xf>
    <xf numFmtId="0" fontId="27" fillId="33" borderId="58" xfId="46" applyFont="1" applyFill="1" applyBorder="1" applyAlignment="1">
      <alignment horizontal="center" vertical="center" wrapText="1"/>
    </xf>
    <xf numFmtId="0" fontId="27" fillId="0" borderId="24" xfId="46" applyFont="1" applyFill="1" applyBorder="1" applyAlignment="1">
      <alignment vertical="center" wrapText="1"/>
    </xf>
    <xf numFmtId="0" fontId="27" fillId="0" borderId="31" xfId="46" applyFont="1" applyFill="1" applyBorder="1" applyAlignment="1">
      <alignment vertical="center" wrapText="1"/>
    </xf>
    <xf numFmtId="0" fontId="27" fillId="0" borderId="10" xfId="46" applyFont="1" applyBorder="1" applyAlignment="1">
      <alignment horizontal="center" vertical="center" wrapText="1"/>
    </xf>
    <xf numFmtId="49" fontId="27" fillId="0" borderId="45" xfId="46" applyNumberFormat="1" applyFont="1" applyBorder="1" applyAlignment="1">
      <alignment horizontal="center" vertical="center" wrapText="1"/>
    </xf>
    <xf numFmtId="0" fontId="27" fillId="33" borderId="11" xfId="46" applyFont="1" applyFill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/>
    </xf>
    <xf numFmtId="0" fontId="27" fillId="0" borderId="24" xfId="46" applyFont="1" applyBorder="1" applyAlignment="1">
      <alignment vertical="center" wrapText="1"/>
    </xf>
    <xf numFmtId="0" fontId="27" fillId="0" borderId="59" xfId="46" applyFont="1" applyBorder="1" applyAlignment="1">
      <alignment vertical="center" wrapText="1"/>
    </xf>
    <xf numFmtId="0" fontId="27" fillId="0" borderId="31" xfId="46" applyFont="1" applyBorder="1" applyAlignment="1">
      <alignment vertical="center" wrapText="1"/>
    </xf>
    <xf numFmtId="0" fontId="27" fillId="0" borderId="14" xfId="46" applyFont="1" applyBorder="1" applyAlignment="1">
      <alignment horizontal="center" vertical="center" wrapText="1"/>
    </xf>
    <xf numFmtId="0" fontId="27" fillId="0" borderId="31" xfId="46" applyFont="1" applyBorder="1" applyAlignment="1">
      <alignment horizontal="center" vertical="center" wrapText="1"/>
    </xf>
    <xf numFmtId="49" fontId="27" fillId="0" borderId="17" xfId="46" applyNumberFormat="1" applyFont="1" applyBorder="1" applyAlignment="1">
      <alignment horizontal="center" vertical="center" wrapText="1"/>
    </xf>
    <xf numFmtId="0" fontId="27" fillId="33" borderId="15" xfId="46" applyFont="1" applyFill="1" applyBorder="1" applyAlignment="1">
      <alignment horizontal="center" vertical="center"/>
    </xf>
    <xf numFmtId="0" fontId="27" fillId="33" borderId="58" xfId="46" applyFont="1" applyFill="1" applyBorder="1" applyAlignment="1">
      <alignment horizontal="center" vertical="center"/>
    </xf>
    <xf numFmtId="49" fontId="27" fillId="0" borderId="14" xfId="46" applyNumberFormat="1" applyFont="1" applyBorder="1" applyAlignment="1">
      <alignment horizontal="center" vertical="center" wrapText="1"/>
    </xf>
    <xf numFmtId="0" fontId="27" fillId="33" borderId="16" xfId="46" applyFont="1" applyFill="1" applyBorder="1" applyAlignment="1">
      <alignment horizontal="center" vertical="center"/>
    </xf>
    <xf numFmtId="0" fontId="27" fillId="24" borderId="14" xfId="46" applyFont="1" applyFill="1" applyBorder="1" applyAlignment="1">
      <alignment horizontal="center" vertical="center"/>
    </xf>
    <xf numFmtId="1" fontId="27" fillId="0" borderId="14" xfId="46" applyNumberFormat="1" applyFont="1" applyBorder="1" applyAlignment="1">
      <alignment horizontal="center" vertical="center" wrapText="1"/>
    </xf>
    <xf numFmtId="1" fontId="27" fillId="0" borderId="17" xfId="46" applyNumberFormat="1" applyFont="1" applyBorder="1" applyAlignment="1">
      <alignment horizontal="center" vertical="center" wrapText="1"/>
    </xf>
    <xf numFmtId="0" fontId="27" fillId="24" borderId="24" xfId="46" applyFont="1" applyFill="1" applyBorder="1" applyAlignment="1">
      <alignment horizontal="center" vertical="center" wrapText="1"/>
    </xf>
    <xf numFmtId="0" fontId="27" fillId="24" borderId="59" xfId="46" applyFont="1" applyFill="1" applyBorder="1" applyAlignment="1">
      <alignment horizontal="center" vertical="center" wrapText="1"/>
    </xf>
    <xf numFmtId="0" fontId="27" fillId="24" borderId="31" xfId="46" applyFont="1" applyFill="1" applyBorder="1" applyAlignment="1">
      <alignment horizontal="center" vertical="center" wrapText="1"/>
    </xf>
    <xf numFmtId="49" fontId="27" fillId="0" borderId="31" xfId="46" applyNumberFormat="1" applyFont="1" applyBorder="1" applyAlignment="1">
      <alignment horizontal="center" vertical="center" wrapText="1"/>
    </xf>
    <xf numFmtId="49" fontId="27" fillId="0" borderId="59" xfId="46" applyNumberFormat="1" applyFont="1" applyBorder="1" applyAlignment="1">
      <alignment horizontal="center" vertical="center" wrapText="1"/>
    </xf>
    <xf numFmtId="0" fontId="27" fillId="24" borderId="14" xfId="46" applyFont="1" applyFill="1" applyBorder="1" applyAlignment="1">
      <alignment horizontal="center" vertical="center" wrapText="1"/>
    </xf>
    <xf numFmtId="0" fontId="27" fillId="28" borderId="61" xfId="46" applyFont="1" applyFill="1" applyBorder="1" applyAlignment="1">
      <alignment horizontal="right" vertical="center" wrapText="1"/>
    </xf>
    <xf numFmtId="49" fontId="27" fillId="0" borderId="13" xfId="46" applyNumberFormat="1" applyFont="1" applyBorder="1" applyAlignment="1">
      <alignment horizontal="center" vertical="center" wrapText="1"/>
    </xf>
    <xf numFmtId="0" fontId="27" fillId="25" borderId="56" xfId="46" applyFont="1" applyFill="1" applyBorder="1" applyAlignment="1">
      <alignment horizontal="right" vertical="center" wrapText="1"/>
    </xf>
    <xf numFmtId="0" fontId="27" fillId="25" borderId="56" xfId="46" applyFont="1" applyFill="1" applyBorder="1" applyAlignment="1">
      <alignment horizontal="left" vertical="center" wrapText="1"/>
    </xf>
    <xf numFmtId="0" fontId="27" fillId="25" borderId="39" xfId="46" applyFont="1" applyFill="1" applyBorder="1" applyAlignment="1">
      <alignment horizontal="left" vertical="center" wrapText="1"/>
    </xf>
    <xf numFmtId="0" fontId="27" fillId="25" borderId="40" xfId="46" applyFont="1" applyFill="1" applyBorder="1" applyAlignment="1">
      <alignment horizontal="left" vertical="center" wrapText="1"/>
    </xf>
    <xf numFmtId="0" fontId="27" fillId="24" borderId="38" xfId="46" applyFont="1" applyFill="1" applyBorder="1" applyAlignment="1">
      <alignment horizontal="left" vertical="center" wrapText="1"/>
    </xf>
    <xf numFmtId="0" fontId="27" fillId="24" borderId="39" xfId="46" applyFont="1" applyFill="1" applyBorder="1" applyAlignment="1">
      <alignment horizontal="left" vertical="center" wrapText="1"/>
    </xf>
    <xf numFmtId="0" fontId="27" fillId="24" borderId="40" xfId="46" applyFont="1" applyFill="1" applyBorder="1" applyAlignment="1">
      <alignment horizontal="left" vertical="center" wrapText="1"/>
    </xf>
    <xf numFmtId="0" fontId="27" fillId="0" borderId="72" xfId="46" applyFont="1" applyBorder="1" applyAlignment="1">
      <alignment horizontal="center" vertical="center" wrapText="1"/>
    </xf>
    <xf numFmtId="0" fontId="27" fillId="31" borderId="59" xfId="46" applyFont="1" applyFill="1" applyBorder="1" applyAlignment="1">
      <alignment horizontal="center" vertical="center" wrapText="1"/>
    </xf>
    <xf numFmtId="0" fontId="25" fillId="33" borderId="15" xfId="46" applyFont="1" applyFill="1" applyBorder="1" applyAlignment="1">
      <alignment horizontal="center" vertical="center"/>
    </xf>
    <xf numFmtId="0" fontId="25" fillId="33" borderId="58" xfId="46" applyFont="1" applyFill="1" applyBorder="1" applyAlignment="1">
      <alignment horizontal="center" vertical="center"/>
    </xf>
    <xf numFmtId="0" fontId="25" fillId="33" borderId="16" xfId="46" applyFont="1" applyFill="1" applyBorder="1" applyAlignment="1">
      <alignment horizontal="center" vertical="center"/>
    </xf>
    <xf numFmtId="0" fontId="27" fillId="34" borderId="14" xfId="46" applyFont="1" applyFill="1" applyBorder="1" applyAlignment="1">
      <alignment horizontal="center" vertical="center" wrapText="1"/>
    </xf>
    <xf numFmtId="0" fontId="27" fillId="31" borderId="14" xfId="46" applyFont="1" applyFill="1" applyBorder="1" applyAlignment="1">
      <alignment horizontal="center" vertical="center" wrapText="1"/>
    </xf>
    <xf numFmtId="0" fontId="27" fillId="0" borderId="55" xfId="46" applyFont="1" applyBorder="1" applyAlignment="1">
      <alignment vertical="center" wrapText="1"/>
    </xf>
    <xf numFmtId="0" fontId="27" fillId="24" borderId="64" xfId="46" applyFont="1" applyFill="1" applyBorder="1" applyAlignment="1">
      <alignment horizontal="right" vertical="center" wrapText="1"/>
    </xf>
    <xf numFmtId="0" fontId="27" fillId="24" borderId="56" xfId="46" applyFont="1" applyFill="1" applyBorder="1" applyAlignment="1">
      <alignment horizontal="left" vertical="center" wrapText="1"/>
    </xf>
    <xf numFmtId="0" fontId="27" fillId="0" borderId="13" xfId="46" applyFont="1" applyBorder="1" applyAlignment="1">
      <alignment vertical="center" wrapText="1"/>
    </xf>
    <xf numFmtId="0" fontId="27" fillId="31" borderId="69" xfId="46" applyFont="1" applyFill="1" applyBorder="1" applyAlignment="1">
      <alignment horizontal="center" vertical="center" wrapText="1"/>
    </xf>
    <xf numFmtId="0" fontId="27" fillId="31" borderId="72" xfId="46" applyFont="1" applyFill="1" applyBorder="1" applyAlignment="1">
      <alignment horizontal="center" vertical="center" wrapText="1"/>
    </xf>
    <xf numFmtId="0" fontId="27" fillId="32" borderId="53" xfId="46" applyFont="1" applyFill="1" applyBorder="1" applyAlignment="1">
      <alignment horizontal="center" vertical="center" wrapText="1"/>
    </xf>
    <xf numFmtId="0" fontId="27" fillId="32" borderId="60" xfId="46" applyFont="1" applyFill="1" applyBorder="1" applyAlignment="1">
      <alignment horizontal="center" vertical="center" wrapText="1"/>
    </xf>
    <xf numFmtId="0" fontId="27" fillId="32" borderId="61" xfId="46" applyFont="1" applyFill="1" applyBorder="1" applyAlignment="1">
      <alignment horizontal="center" vertical="center" wrapText="1"/>
    </xf>
    <xf numFmtId="0" fontId="27" fillId="31" borderId="24" xfId="46" applyFont="1" applyFill="1" applyBorder="1" applyAlignment="1">
      <alignment horizontal="center" vertical="center" wrapText="1"/>
    </xf>
    <xf numFmtId="0" fontId="27" fillId="31" borderId="31" xfId="46" applyFont="1" applyFill="1" applyBorder="1" applyAlignment="1">
      <alignment horizontal="center" vertical="center" wrapText="1"/>
    </xf>
    <xf numFmtId="0" fontId="27" fillId="31" borderId="10" xfId="46" applyFont="1" applyFill="1" applyBorder="1" applyAlignment="1">
      <alignment horizontal="center" vertical="center" wrapText="1"/>
    </xf>
    <xf numFmtId="0" fontId="27" fillId="32" borderId="38" xfId="46" applyFont="1" applyFill="1" applyBorder="1" applyAlignment="1">
      <alignment horizontal="center" vertical="center" wrapText="1"/>
    </xf>
    <xf numFmtId="0" fontId="27" fillId="32" borderId="39" xfId="46" applyFont="1" applyFill="1" applyBorder="1" applyAlignment="1">
      <alignment horizontal="center" vertical="center" wrapText="1"/>
    </xf>
    <xf numFmtId="0" fontId="27" fillId="32" borderId="40" xfId="46" applyFont="1" applyFill="1" applyBorder="1" applyAlignment="1">
      <alignment horizontal="center" vertical="center" wrapText="1"/>
    </xf>
    <xf numFmtId="49" fontId="27" fillId="0" borderId="17" xfId="46" quotePrefix="1" applyNumberFormat="1" applyFont="1" applyBorder="1" applyAlignment="1">
      <alignment horizontal="center" vertical="center" wrapText="1"/>
    </xf>
    <xf numFmtId="0" fontId="27" fillId="28" borderId="41" xfId="46" applyFont="1" applyFill="1" applyBorder="1" applyAlignment="1">
      <alignment horizontal="right" vertical="center" wrapText="1"/>
    </xf>
    <xf numFmtId="0" fontId="27" fillId="28" borderId="42" xfId="46" applyFont="1" applyFill="1" applyBorder="1" applyAlignment="1">
      <alignment horizontal="right" vertical="center" wrapText="1"/>
    </xf>
    <xf numFmtId="0" fontId="27" fillId="28" borderId="43" xfId="46" applyFont="1" applyFill="1" applyBorder="1" applyAlignment="1">
      <alignment horizontal="right" vertical="center" wrapText="1"/>
    </xf>
    <xf numFmtId="0" fontId="27" fillId="0" borderId="12" xfId="46" applyFont="1" applyBorder="1" applyAlignment="1">
      <alignment horizontal="center" vertical="center" wrapText="1"/>
    </xf>
    <xf numFmtId="0" fontId="27" fillId="0" borderId="29" xfId="46" applyFont="1" applyBorder="1" applyAlignment="1">
      <alignment horizontal="center" vertical="center" wrapText="1"/>
    </xf>
    <xf numFmtId="0" fontId="27" fillId="28" borderId="53" xfId="46" applyFont="1" applyFill="1" applyBorder="1" applyAlignment="1">
      <alignment horizontal="right" vertical="center" wrapText="1"/>
    </xf>
    <xf numFmtId="0" fontId="27" fillId="28" borderId="60" xfId="46" applyFont="1" applyFill="1" applyBorder="1" applyAlignment="1">
      <alignment horizontal="right" vertical="center" wrapText="1"/>
    </xf>
    <xf numFmtId="0" fontId="25" fillId="33" borderId="11" xfId="46" applyFont="1" applyFill="1" applyBorder="1" applyAlignment="1">
      <alignment horizontal="center" vertical="center"/>
    </xf>
    <xf numFmtId="0" fontId="27" fillId="28" borderId="56" xfId="46" applyFont="1" applyFill="1" applyBorder="1" applyAlignment="1">
      <alignment horizontal="right" vertical="center" wrapText="1"/>
    </xf>
    <xf numFmtId="0" fontId="27" fillId="24" borderId="41" xfId="46" applyFont="1" applyFill="1" applyBorder="1" applyAlignment="1">
      <alignment horizontal="right" vertical="center" wrapText="1"/>
    </xf>
    <xf numFmtId="0" fontId="27" fillId="24" borderId="42" xfId="46" applyFont="1" applyFill="1" applyBorder="1" applyAlignment="1">
      <alignment horizontal="right" vertical="center" wrapText="1"/>
    </xf>
    <xf numFmtId="0" fontId="27" fillId="24" borderId="43" xfId="46" applyFont="1" applyFill="1" applyBorder="1" applyAlignment="1">
      <alignment horizontal="right" vertical="center" wrapText="1"/>
    </xf>
    <xf numFmtId="0" fontId="27" fillId="24" borderId="63" xfId="46" applyFont="1" applyFill="1" applyBorder="1" applyAlignment="1">
      <alignment horizontal="left" vertical="center" wrapText="1"/>
    </xf>
    <xf numFmtId="0" fontId="27" fillId="24" borderId="64" xfId="46" applyFont="1" applyFill="1" applyBorder="1" applyAlignment="1">
      <alignment horizontal="left" vertical="center" wrapText="1"/>
    </xf>
    <xf numFmtId="0" fontId="27" fillId="24" borderId="51" xfId="46" applyFont="1" applyFill="1" applyBorder="1" applyAlignment="1">
      <alignment horizontal="left" vertical="center" wrapText="1"/>
    </xf>
    <xf numFmtId="0" fontId="27" fillId="0" borderId="55" xfId="46" applyFont="1" applyFill="1" applyBorder="1" applyAlignment="1">
      <alignment vertical="center" wrapText="1"/>
    </xf>
    <xf numFmtId="0" fontId="27" fillId="31" borderId="45" xfId="46" applyFont="1" applyFill="1" applyBorder="1" applyAlignment="1">
      <alignment horizontal="center" vertical="center" wrapText="1"/>
    </xf>
    <xf numFmtId="49" fontId="27" fillId="31" borderId="62" xfId="46" applyNumberFormat="1" applyFont="1" applyFill="1" applyBorder="1" applyAlignment="1">
      <alignment horizontal="center" vertical="center" wrapText="1"/>
    </xf>
    <xf numFmtId="0" fontId="27" fillId="32" borderId="53" xfId="46" applyFont="1" applyFill="1" applyBorder="1" applyAlignment="1">
      <alignment horizontal="right" vertical="center" wrapText="1"/>
    </xf>
    <xf numFmtId="0" fontId="27" fillId="32" borderId="60" xfId="46" applyFont="1" applyFill="1" applyBorder="1" applyAlignment="1">
      <alignment horizontal="right" vertical="center" wrapText="1"/>
    </xf>
    <xf numFmtId="0" fontId="27" fillId="32" borderId="61" xfId="46" applyFont="1" applyFill="1" applyBorder="1" applyAlignment="1">
      <alignment horizontal="right" vertical="center" wrapText="1"/>
    </xf>
    <xf numFmtId="0" fontId="27" fillId="34" borderId="59" xfId="46" applyFont="1" applyFill="1" applyBorder="1" applyAlignment="1">
      <alignment horizontal="center" vertical="center" wrapText="1"/>
    </xf>
    <xf numFmtId="0" fontId="27" fillId="34" borderId="31" xfId="46" applyFont="1" applyFill="1" applyBorder="1" applyAlignment="1">
      <alignment horizontal="center" vertical="center" wrapText="1"/>
    </xf>
    <xf numFmtId="0" fontId="27" fillId="31" borderId="62" xfId="46" applyFont="1" applyFill="1" applyBorder="1" applyAlignment="1">
      <alignment horizontal="center" vertical="center" wrapText="1"/>
    </xf>
    <xf numFmtId="0" fontId="27" fillId="0" borderId="59" xfId="46" applyFont="1" applyFill="1" applyBorder="1" applyAlignment="1">
      <alignment vertical="center" wrapText="1"/>
    </xf>
    <xf numFmtId="0" fontId="27" fillId="0" borderId="17" xfId="46" applyFont="1" applyBorder="1" applyAlignment="1">
      <alignment horizontal="center" vertical="center" wrapText="1"/>
    </xf>
    <xf numFmtId="2" fontId="27" fillId="0" borderId="14" xfId="46" applyNumberFormat="1" applyFont="1" applyBorder="1" applyAlignment="1">
      <alignment horizontal="center" vertical="center" wrapText="1"/>
    </xf>
    <xf numFmtId="2" fontId="27" fillId="0" borderId="17" xfId="46" applyNumberFormat="1" applyFont="1" applyBorder="1" applyAlignment="1">
      <alignment horizontal="center" vertical="center" wrapText="1"/>
    </xf>
    <xf numFmtId="0" fontId="27" fillId="0" borderId="0" xfId="46" applyFont="1" applyBorder="1" applyAlignment="1">
      <alignment horizontal="center" vertical="center" wrapText="1"/>
    </xf>
    <xf numFmtId="0" fontId="27" fillId="32" borderId="56" xfId="46" applyFont="1" applyFill="1" applyBorder="1" applyAlignment="1">
      <alignment horizontal="right" vertical="center" wrapText="1"/>
    </xf>
    <xf numFmtId="49" fontId="27" fillId="31" borderId="45" xfId="46" applyNumberFormat="1" applyFont="1" applyFill="1" applyBorder="1" applyAlignment="1">
      <alignment horizontal="center" vertical="center" wrapText="1"/>
    </xf>
    <xf numFmtId="49" fontId="27" fillId="31" borderId="10" xfId="46" applyNumberFormat="1" applyFont="1" applyFill="1" applyBorder="1" applyAlignment="1">
      <alignment horizontal="center" vertical="center" wrapText="1"/>
    </xf>
    <xf numFmtId="49" fontId="27" fillId="0" borderId="55" xfId="46" applyNumberFormat="1" applyFont="1" applyBorder="1" applyAlignment="1">
      <alignment horizontal="center" vertical="center" wrapText="1"/>
    </xf>
    <xf numFmtId="0" fontId="27" fillId="28" borderId="64" xfId="46" applyFont="1" applyFill="1" applyBorder="1" applyAlignment="1">
      <alignment horizontal="right" vertical="center" wrapText="1"/>
    </xf>
    <xf numFmtId="0" fontId="27" fillId="26" borderId="24" xfId="46" applyFont="1" applyFill="1" applyBorder="1" applyAlignment="1">
      <alignment horizontal="center" vertical="center" wrapText="1"/>
    </xf>
    <xf numFmtId="0" fontId="27" fillId="26" borderId="59" xfId="46" applyFont="1" applyFill="1" applyBorder="1" applyAlignment="1">
      <alignment horizontal="center" vertical="center" wrapText="1"/>
    </xf>
    <xf numFmtId="0" fontId="27" fillId="26" borderId="31" xfId="46" applyFont="1" applyFill="1" applyBorder="1" applyAlignment="1">
      <alignment horizontal="center" vertical="center" wrapText="1"/>
    </xf>
    <xf numFmtId="1" fontId="27" fillId="26" borderId="45" xfId="46" applyNumberFormat="1" applyFont="1" applyFill="1" applyBorder="1" applyAlignment="1">
      <alignment horizontal="center" vertical="center" wrapText="1"/>
    </xf>
    <xf numFmtId="1" fontId="27" fillId="26" borderId="62" xfId="46" applyNumberFormat="1" applyFont="1" applyFill="1" applyBorder="1" applyAlignment="1">
      <alignment horizontal="center" vertical="center" wrapText="1"/>
    </xf>
    <xf numFmtId="1" fontId="27" fillId="26" borderId="10" xfId="46" applyNumberFormat="1" applyFont="1" applyFill="1" applyBorder="1" applyAlignment="1">
      <alignment horizontal="center" vertical="center" wrapText="1"/>
    </xf>
    <xf numFmtId="49" fontId="27" fillId="0" borderId="13" xfId="46" applyNumberFormat="1" applyFont="1" applyBorder="1" applyAlignment="1">
      <alignment horizontal="center" vertical="center"/>
    </xf>
    <xf numFmtId="49" fontId="27" fillId="0" borderId="59" xfId="46" applyNumberFormat="1" applyFont="1" applyBorder="1" applyAlignment="1">
      <alignment horizontal="center" vertical="center"/>
    </xf>
    <xf numFmtId="49" fontId="27" fillId="0" borderId="55" xfId="46" applyNumberFormat="1" applyFont="1" applyBorder="1" applyAlignment="1">
      <alignment horizontal="center" vertical="center"/>
    </xf>
    <xf numFmtId="1" fontId="27" fillId="26" borderId="17" xfId="46" quotePrefix="1" applyNumberFormat="1" applyFont="1" applyFill="1" applyBorder="1" applyAlignment="1">
      <alignment horizontal="center" vertical="center" wrapText="1"/>
    </xf>
    <xf numFmtId="49" fontId="27" fillId="26" borderId="17" xfId="46" applyNumberFormat="1" applyFont="1" applyFill="1" applyBorder="1" applyAlignment="1">
      <alignment horizontal="center" vertical="center" wrapText="1"/>
    </xf>
    <xf numFmtId="49" fontId="27" fillId="26" borderId="10" xfId="46" applyNumberFormat="1" applyFont="1" applyFill="1" applyBorder="1" applyAlignment="1">
      <alignment horizontal="center" vertical="center" wrapText="1"/>
    </xf>
    <xf numFmtId="49" fontId="27" fillId="26" borderId="14" xfId="46" applyNumberFormat="1" applyFont="1" applyFill="1" applyBorder="1" applyAlignment="1">
      <alignment horizontal="center" vertical="center" wrapText="1"/>
    </xf>
    <xf numFmtId="49" fontId="27" fillId="26" borderId="45" xfId="46" applyNumberFormat="1" applyFont="1" applyFill="1" applyBorder="1" applyAlignment="1">
      <alignment horizontal="center" vertical="center" wrapText="1"/>
    </xf>
    <xf numFmtId="0" fontId="27" fillId="33" borderId="25" xfId="46" applyFont="1" applyFill="1" applyBorder="1" applyAlignment="1">
      <alignment horizontal="center" vertical="center" wrapText="1"/>
    </xf>
    <xf numFmtId="0" fontId="27" fillId="33" borderId="16" xfId="46" applyFont="1" applyFill="1" applyBorder="1" applyAlignment="1">
      <alignment horizontal="center" vertical="center" wrapText="1"/>
    </xf>
    <xf numFmtId="0" fontId="27" fillId="33" borderId="11" xfId="46" applyFont="1" applyFill="1" applyBorder="1" applyAlignment="1">
      <alignment horizontal="center" vertical="center" wrapText="1"/>
    </xf>
    <xf numFmtId="0" fontId="27" fillId="24" borderId="12" xfId="46" applyFont="1" applyFill="1" applyBorder="1" applyAlignment="1">
      <alignment horizontal="center" vertical="center" wrapText="1"/>
    </xf>
    <xf numFmtId="49" fontId="27" fillId="31" borderId="12" xfId="46" applyNumberFormat="1" applyFont="1" applyFill="1" applyBorder="1" applyAlignment="1">
      <alignment horizontal="center" vertical="center" wrapText="1"/>
    </xf>
    <xf numFmtId="49" fontId="27" fillId="31" borderId="31" xfId="46" applyNumberFormat="1" applyFont="1" applyFill="1" applyBorder="1" applyAlignment="1">
      <alignment horizontal="center" vertical="center" wrapText="1"/>
    </xf>
    <xf numFmtId="49" fontId="27" fillId="31" borderId="14" xfId="46" applyNumberFormat="1" applyFont="1" applyFill="1" applyBorder="1" applyAlignment="1">
      <alignment horizontal="center" vertical="center" wrapText="1"/>
    </xf>
    <xf numFmtId="49" fontId="27" fillId="31" borderId="17" xfId="46" applyNumberFormat="1" applyFont="1" applyFill="1" applyBorder="1" applyAlignment="1">
      <alignment horizontal="center" vertical="center" wrapText="1"/>
    </xf>
    <xf numFmtId="0" fontId="27" fillId="30" borderId="38" xfId="46" applyFont="1" applyFill="1" applyBorder="1" applyAlignment="1">
      <alignment horizontal="left" vertical="center" wrapText="1"/>
    </xf>
    <xf numFmtId="0" fontId="27" fillId="0" borderId="39" xfId="46" applyFont="1" applyBorder="1" applyAlignment="1"/>
    <xf numFmtId="0" fontId="27" fillId="0" borderId="40" xfId="46" applyFont="1" applyBorder="1" applyAlignment="1"/>
    <xf numFmtId="0" fontId="27" fillId="29" borderId="38" xfId="46" applyFont="1" applyFill="1" applyBorder="1" applyAlignment="1">
      <alignment horizontal="left" vertical="center" wrapText="1"/>
    </xf>
    <xf numFmtId="0" fontId="27" fillId="25" borderId="53" xfId="46" applyFont="1" applyFill="1" applyBorder="1" applyAlignment="1">
      <alignment horizontal="left" vertical="center" wrapText="1"/>
    </xf>
    <xf numFmtId="0" fontId="27" fillId="25" borderId="60" xfId="46" applyFont="1" applyFill="1" applyBorder="1" applyAlignment="1">
      <alignment horizontal="left" vertical="center" wrapText="1"/>
    </xf>
    <xf numFmtId="0" fontId="27" fillId="25" borderId="61" xfId="46" applyFont="1" applyFill="1" applyBorder="1" applyAlignment="1">
      <alignment horizontal="left" vertical="center" wrapText="1"/>
    </xf>
    <xf numFmtId="0" fontId="27" fillId="24" borderId="53" xfId="46" applyFont="1" applyFill="1" applyBorder="1" applyAlignment="1">
      <alignment horizontal="left" vertical="center" wrapText="1"/>
    </xf>
    <xf numFmtId="0" fontId="27" fillId="24" borderId="60" xfId="46" applyFont="1" applyFill="1" applyBorder="1" applyAlignment="1">
      <alignment horizontal="left" vertical="center" wrapText="1"/>
    </xf>
    <xf numFmtId="0" fontId="27" fillId="24" borderId="61" xfId="46" applyFont="1" applyFill="1" applyBorder="1" applyAlignment="1">
      <alignment horizontal="left" vertical="center" wrapText="1"/>
    </xf>
    <xf numFmtId="167" fontId="27" fillId="0" borderId="11" xfId="46" applyNumberFormat="1" applyFont="1" applyBorder="1" applyAlignment="1">
      <alignment horizontal="center" vertical="center" textRotation="90"/>
    </xf>
    <xf numFmtId="167" fontId="27" fillId="0" borderId="15" xfId="46" applyNumberFormat="1" applyFont="1" applyBorder="1" applyAlignment="1">
      <alignment horizontal="center" vertical="center" textRotation="90"/>
    </xf>
    <xf numFmtId="167" fontId="27" fillId="0" borderId="14" xfId="46" applyNumberFormat="1" applyFont="1" applyBorder="1" applyAlignment="1">
      <alignment horizontal="center" vertical="center" wrapText="1"/>
    </xf>
    <xf numFmtId="167" fontId="27" fillId="0" borderId="28" xfId="46" applyNumberFormat="1" applyFont="1" applyBorder="1" applyAlignment="1">
      <alignment horizontal="center" vertical="center" wrapText="1"/>
    </xf>
    <xf numFmtId="167" fontId="27" fillId="0" borderId="28" xfId="46" applyNumberFormat="1" applyFont="1" applyBorder="1" applyAlignment="1">
      <alignment horizontal="center" vertical="center" textRotation="90" wrapText="1"/>
    </xf>
    <xf numFmtId="167" fontId="27" fillId="0" borderId="20" xfId="46" applyNumberFormat="1" applyFont="1" applyBorder="1" applyAlignment="1">
      <alignment horizontal="center" vertical="center" textRotation="90" wrapText="1"/>
    </xf>
    <xf numFmtId="0" fontId="27" fillId="0" borderId="67" xfId="46" applyFont="1" applyBorder="1" applyAlignment="1">
      <alignment horizontal="center" vertical="center" textRotation="90" wrapText="1"/>
    </xf>
    <xf numFmtId="0" fontId="27" fillId="0" borderId="68" xfId="46" applyFont="1" applyBorder="1" applyAlignment="1">
      <alignment horizontal="center" vertical="center" textRotation="90" wrapText="1"/>
    </xf>
    <xf numFmtId="0" fontId="27" fillId="0" borderId="73" xfId="46" applyFont="1" applyBorder="1" applyAlignment="1">
      <alignment horizontal="center" vertical="center" textRotation="90" wrapText="1"/>
    </xf>
    <xf numFmtId="167" fontId="27" fillId="0" borderId="27" xfId="46" applyNumberFormat="1" applyFont="1" applyBorder="1" applyAlignment="1">
      <alignment horizontal="center" vertical="center" wrapText="1"/>
    </xf>
    <xf numFmtId="167" fontId="27" fillId="0" borderId="12" xfId="46" applyNumberFormat="1" applyFont="1" applyBorder="1" applyAlignment="1">
      <alignment horizontal="center" vertical="center" wrapText="1"/>
    </xf>
    <xf numFmtId="167" fontId="27" fillId="0" borderId="26" xfId="46" applyNumberFormat="1" applyFont="1" applyBorder="1" applyAlignment="1">
      <alignment horizontal="center" vertical="center" wrapText="1"/>
    </xf>
    <xf numFmtId="167" fontId="27" fillId="0" borderId="25" xfId="46" applyNumberFormat="1" applyFont="1" applyBorder="1" applyAlignment="1">
      <alignment horizontal="center" vertical="center" wrapText="1"/>
    </xf>
    <xf numFmtId="167" fontId="27" fillId="0" borderId="46" xfId="46" applyNumberFormat="1" applyFont="1" applyBorder="1" applyAlignment="1">
      <alignment horizontal="center" vertical="center" textRotation="90"/>
    </xf>
    <xf numFmtId="167" fontId="27" fillId="0" borderId="69" xfId="46" applyNumberFormat="1" applyFont="1" applyBorder="1" applyAlignment="1">
      <alignment horizontal="center" vertical="center" textRotation="90"/>
    </xf>
    <xf numFmtId="2" fontId="27" fillId="0" borderId="57" xfId="46" applyNumberFormat="1" applyFont="1" applyBorder="1" applyAlignment="1">
      <alignment horizontal="center" vertical="center" textRotation="90" wrapText="1"/>
    </xf>
    <xf numFmtId="2" fontId="27" fillId="0" borderId="65" xfId="46" applyNumberFormat="1" applyFont="1" applyBorder="1" applyAlignment="1">
      <alignment horizontal="center" vertical="center" textRotation="90" wrapText="1"/>
    </xf>
    <xf numFmtId="2" fontId="27" fillId="0" borderId="66" xfId="46" applyNumberFormat="1" applyFont="1" applyBorder="1" applyAlignment="1">
      <alignment horizontal="center" vertical="center" textRotation="90" wrapText="1"/>
    </xf>
    <xf numFmtId="2" fontId="27" fillId="0" borderId="21" xfId="46" applyNumberFormat="1" applyFont="1" applyBorder="1" applyAlignment="1">
      <alignment horizontal="center" vertical="center" textRotation="90" wrapText="1"/>
    </xf>
    <xf numFmtId="0" fontId="27" fillId="0" borderId="57" xfId="46" applyFont="1" applyBorder="1" applyAlignment="1">
      <alignment horizontal="center" vertical="center" textRotation="90" wrapText="1"/>
    </xf>
    <xf numFmtId="0" fontId="27" fillId="0" borderId="65" xfId="46" applyFont="1" applyBorder="1" applyAlignment="1">
      <alignment horizontal="center" vertical="center" textRotation="90" wrapText="1"/>
    </xf>
    <xf numFmtId="0" fontId="27" fillId="0" borderId="66" xfId="46" applyFont="1" applyBorder="1" applyAlignment="1">
      <alignment horizontal="center" vertical="center" textRotation="90" wrapText="1"/>
    </xf>
    <xf numFmtId="0" fontId="27" fillId="0" borderId="21" xfId="46" applyFont="1" applyBorder="1" applyAlignment="1">
      <alignment horizontal="center" vertical="center" textRotation="90" wrapText="1"/>
    </xf>
    <xf numFmtId="0" fontId="27" fillId="0" borderId="67" xfId="46" applyFont="1" applyBorder="1" applyAlignment="1">
      <alignment vertical="center" wrapText="1"/>
    </xf>
    <xf numFmtId="0" fontId="27" fillId="0" borderId="68" xfId="46" applyFont="1" applyBorder="1" applyAlignment="1">
      <alignment vertical="center" wrapText="1"/>
    </xf>
    <xf numFmtId="0" fontId="27" fillId="0" borderId="73" xfId="46" applyFont="1" applyBorder="1" applyAlignment="1">
      <alignment vertical="center" wrapText="1"/>
    </xf>
    <xf numFmtId="0" fontId="27" fillId="0" borderId="66" xfId="46" applyFont="1" applyBorder="1" applyAlignment="1">
      <alignment vertical="center" textRotation="90" wrapText="1"/>
    </xf>
    <xf numFmtId="0" fontId="27" fillId="0" borderId="21" xfId="46" applyFont="1" applyBorder="1" applyAlignment="1">
      <alignment vertical="center" textRotation="90" wrapText="1"/>
    </xf>
    <xf numFmtId="0" fontId="28" fillId="0" borderId="57" xfId="46" applyFont="1" applyBorder="1" applyAlignment="1">
      <alignment horizontal="center" vertical="center" textRotation="90" wrapText="1"/>
    </xf>
    <xf numFmtId="0" fontId="28" fillId="0" borderId="65" xfId="46" applyFont="1" applyBorder="1" applyAlignment="1">
      <alignment horizontal="center" vertical="center" textRotation="90" wrapText="1"/>
    </xf>
    <xf numFmtId="0" fontId="28" fillId="0" borderId="66" xfId="46" applyFont="1" applyBorder="1" applyAlignment="1">
      <alignment horizontal="center" vertical="center" textRotation="90" wrapText="1"/>
    </xf>
    <xf numFmtId="0" fontId="28" fillId="0" borderId="21" xfId="46" applyFont="1" applyBorder="1" applyAlignment="1">
      <alignment horizontal="center" vertical="center" textRotation="90" wrapText="1"/>
    </xf>
    <xf numFmtId="167" fontId="5" fillId="0" borderId="60" xfId="46" applyNumberFormat="1" applyBorder="1" applyAlignment="1">
      <alignment horizontal="left" vertical="center" wrapText="1"/>
    </xf>
    <xf numFmtId="167" fontId="5" fillId="0" borderId="61" xfId="46" applyNumberFormat="1" applyBorder="1" applyAlignment="1">
      <alignment horizontal="left" vertical="center" wrapText="1"/>
    </xf>
    <xf numFmtId="0" fontId="24" fillId="0" borderId="22" xfId="46" applyFont="1" applyBorder="1" applyAlignment="1">
      <alignment horizontal="center" wrapText="1"/>
    </xf>
    <xf numFmtId="0" fontId="24" fillId="0" borderId="0" xfId="46" applyFont="1" applyBorder="1" applyAlignment="1">
      <alignment horizontal="center" wrapText="1"/>
    </xf>
    <xf numFmtId="0" fontId="24" fillId="0" borderId="76" xfId="46" applyFont="1" applyBorder="1" applyAlignment="1">
      <alignment horizontal="center" wrapText="1"/>
    </xf>
    <xf numFmtId="0" fontId="27" fillId="0" borderId="64" xfId="46" applyFont="1" applyBorder="1" applyAlignment="1">
      <alignment horizontal="right"/>
    </xf>
    <xf numFmtId="167" fontId="27" fillId="0" borderId="64" xfId="46" applyNumberFormat="1" applyFont="1" applyBorder="1" applyAlignment="1">
      <alignment horizontal="center" wrapText="1"/>
    </xf>
    <xf numFmtId="167" fontId="27" fillId="0" borderId="51" xfId="46" applyNumberFormat="1" applyFont="1" applyBorder="1" applyAlignment="1">
      <alignment horizontal="center" wrapText="1"/>
    </xf>
    <xf numFmtId="0" fontId="26" fillId="0" borderId="38" xfId="46" applyFont="1" applyBorder="1" applyAlignment="1">
      <alignment horizontal="right" vertical="center" wrapText="1"/>
    </xf>
    <xf numFmtId="0" fontId="26" fillId="0" borderId="39" xfId="46" applyFont="1" applyBorder="1" applyAlignment="1">
      <alignment horizontal="right" vertical="center" wrapText="1"/>
    </xf>
    <xf numFmtId="0" fontId="26" fillId="0" borderId="40" xfId="46" applyFont="1" applyBorder="1" applyAlignment="1">
      <alignment horizontal="right" vertical="center" wrapText="1"/>
    </xf>
    <xf numFmtId="0" fontId="25" fillId="0" borderId="44" xfId="46" applyFont="1" applyBorder="1" applyAlignment="1">
      <alignment horizontal="left"/>
    </xf>
    <xf numFmtId="0" fontId="25" fillId="0" borderId="60" xfId="46" applyFont="1" applyBorder="1" applyAlignment="1">
      <alignment horizontal="left"/>
    </xf>
    <xf numFmtId="0" fontId="26" fillId="0" borderId="18" xfId="46" applyFont="1" applyBorder="1" applyAlignment="1">
      <alignment horizontal="left" vertical="center" wrapText="1"/>
    </xf>
    <xf numFmtId="0" fontId="26" fillId="0" borderId="36" xfId="46" applyFont="1" applyBorder="1" applyAlignment="1">
      <alignment horizontal="left" vertical="center" wrapText="1"/>
    </xf>
    <xf numFmtId="0" fontId="26" fillId="0" borderId="47" xfId="46" applyFont="1" applyBorder="1" applyAlignment="1">
      <alignment horizontal="left" vertical="center" wrapText="1"/>
    </xf>
    <xf numFmtId="0" fontId="27" fillId="0" borderId="83" xfId="46" applyFont="1" applyBorder="1" applyAlignment="1">
      <alignment horizontal="left" vertical="center" wrapText="1"/>
    </xf>
    <xf numFmtId="0" fontId="27" fillId="0" borderId="85" xfId="46" applyFont="1" applyBorder="1" applyAlignment="1">
      <alignment horizontal="left" vertical="center" wrapText="1"/>
    </xf>
    <xf numFmtId="0" fontId="27" fillId="0" borderId="86" xfId="46" applyFont="1" applyBorder="1" applyAlignment="1">
      <alignment horizontal="left" vertical="center" wrapText="1"/>
    </xf>
    <xf numFmtId="0" fontId="26" fillId="29" borderId="53" xfId="46" applyFont="1" applyFill="1" applyBorder="1" applyAlignment="1">
      <alignment horizontal="right" vertical="center" wrapText="1"/>
    </xf>
    <xf numFmtId="0" fontId="26" fillId="29" borderId="60" xfId="46" applyFont="1" applyFill="1" applyBorder="1" applyAlignment="1">
      <alignment horizontal="right" vertical="center" wrapText="1"/>
    </xf>
    <xf numFmtId="0" fontId="26" fillId="29" borderId="61" xfId="46" applyFont="1" applyFill="1" applyBorder="1" applyAlignment="1">
      <alignment horizontal="right" vertical="center" wrapText="1"/>
    </xf>
    <xf numFmtId="0" fontId="27" fillId="0" borderId="81" xfId="46" applyFont="1" applyBorder="1" applyAlignment="1">
      <alignment horizontal="left" vertical="center" wrapText="1"/>
    </xf>
    <xf numFmtId="0" fontId="27" fillId="0" borderId="84" xfId="46" applyFont="1" applyBorder="1" applyAlignment="1">
      <alignment horizontal="left" vertical="center" wrapText="1"/>
    </xf>
    <xf numFmtId="0" fontId="27" fillId="0" borderId="79" xfId="46" applyFont="1" applyBorder="1" applyAlignment="1">
      <alignment horizontal="left" vertical="center" wrapText="1"/>
    </xf>
    <xf numFmtId="0" fontId="27" fillId="24" borderId="53" xfId="46" applyFont="1" applyFill="1" applyBorder="1" applyAlignment="1">
      <alignment horizontal="right" vertical="center" wrapText="1"/>
    </xf>
    <xf numFmtId="0" fontId="27" fillId="24" borderId="60" xfId="46" applyFont="1" applyFill="1" applyBorder="1" applyAlignment="1">
      <alignment horizontal="right" vertical="center" wrapText="1"/>
    </xf>
    <xf numFmtId="0" fontId="27" fillId="24" borderId="61" xfId="46" applyFont="1" applyFill="1" applyBorder="1" applyAlignment="1">
      <alignment horizontal="right" vertical="center" wrapText="1"/>
    </xf>
    <xf numFmtId="0" fontId="27" fillId="25" borderId="11" xfId="46" applyFont="1" applyFill="1" applyBorder="1" applyAlignment="1">
      <alignment horizontal="center" vertical="center" wrapText="1"/>
    </xf>
    <xf numFmtId="0" fontId="27" fillId="0" borderId="14" xfId="46" applyFont="1" applyFill="1" applyBorder="1" applyAlignment="1">
      <alignment horizontal="left" vertical="center" wrapText="1"/>
    </xf>
    <xf numFmtId="0" fontId="27" fillId="24" borderId="41" xfId="46" applyFont="1" applyFill="1" applyBorder="1" applyAlignment="1">
      <alignment horizontal="left" vertical="center" wrapText="1"/>
    </xf>
    <xf numFmtId="0" fontId="27" fillId="24" borderId="42" xfId="46" applyFont="1" applyFill="1" applyBorder="1" applyAlignment="1">
      <alignment horizontal="left" vertical="center" wrapText="1"/>
    </xf>
    <xf numFmtId="0" fontId="27" fillId="24" borderId="43" xfId="46" applyFont="1" applyFill="1" applyBorder="1" applyAlignment="1">
      <alignment horizontal="left" vertical="center" wrapText="1"/>
    </xf>
    <xf numFmtId="0" fontId="27" fillId="0" borderId="55" xfId="46" applyFont="1" applyBorder="1" applyAlignment="1">
      <alignment horizontal="left" vertical="center" wrapText="1"/>
    </xf>
    <xf numFmtId="0" fontId="27" fillId="31" borderId="17" xfId="46" applyFont="1" applyFill="1" applyBorder="1" applyAlignment="1">
      <alignment horizontal="center" vertical="center" wrapText="1"/>
    </xf>
    <xf numFmtId="0" fontId="27" fillId="31" borderId="78" xfId="46" applyFont="1" applyFill="1" applyBorder="1" applyAlignment="1">
      <alignment horizontal="center" vertical="center" wrapText="1"/>
    </xf>
    <xf numFmtId="0" fontId="27" fillId="24" borderId="63" xfId="46" applyFont="1" applyFill="1" applyBorder="1" applyAlignment="1">
      <alignment horizontal="right" vertical="center" wrapText="1"/>
    </xf>
    <xf numFmtId="0" fontId="27" fillId="24" borderId="51" xfId="46" applyFont="1" applyFill="1" applyBorder="1" applyAlignment="1">
      <alignment horizontal="right" vertical="center" wrapText="1"/>
    </xf>
    <xf numFmtId="0" fontId="27" fillId="25" borderId="53" xfId="46" applyFont="1" applyFill="1" applyBorder="1" applyAlignment="1">
      <alignment horizontal="right" vertical="center" wrapText="1"/>
    </xf>
    <xf numFmtId="0" fontId="27" fillId="25" borderId="60" xfId="46" applyFont="1" applyFill="1" applyBorder="1" applyAlignment="1">
      <alignment horizontal="right" vertical="center" wrapText="1"/>
    </xf>
    <xf numFmtId="0" fontId="27" fillId="25" borderId="61" xfId="46" applyFont="1" applyFill="1" applyBorder="1" applyAlignment="1">
      <alignment horizontal="right" vertical="center" wrapText="1"/>
    </xf>
    <xf numFmtId="0" fontId="27" fillId="25" borderId="38" xfId="46" applyFont="1" applyFill="1" applyBorder="1" applyAlignment="1">
      <alignment horizontal="left" vertical="center" wrapText="1"/>
    </xf>
    <xf numFmtId="49" fontId="27" fillId="31" borderId="78" xfId="46" applyNumberFormat="1" applyFont="1" applyFill="1" applyBorder="1" applyAlignment="1">
      <alignment horizontal="center" vertical="center" wrapText="1"/>
    </xf>
    <xf numFmtId="0" fontId="27" fillId="0" borderId="14" xfId="46" applyFont="1" applyFill="1" applyBorder="1" applyAlignment="1">
      <alignment vertical="center" wrapText="1"/>
    </xf>
    <xf numFmtId="49" fontId="27" fillId="0" borderId="14" xfId="46" applyNumberFormat="1" applyFont="1" applyFill="1" applyBorder="1" applyAlignment="1">
      <alignment horizontal="center" vertical="center" wrapText="1"/>
    </xf>
    <xf numFmtId="49" fontId="27" fillId="0" borderId="17" xfId="46" applyNumberFormat="1" applyFont="1" applyFill="1" applyBorder="1" applyAlignment="1">
      <alignment horizontal="center" vertical="center" wrapText="1"/>
    </xf>
    <xf numFmtId="0" fontId="27" fillId="31" borderId="13" xfId="46" applyFont="1" applyFill="1" applyBorder="1" applyAlignment="1">
      <alignment horizontal="center" vertical="center" wrapText="1"/>
    </xf>
    <xf numFmtId="0" fontId="27" fillId="31" borderId="55" xfId="46" applyFont="1" applyFill="1" applyBorder="1" applyAlignment="1">
      <alignment horizontal="center" vertical="center" wrapText="1"/>
    </xf>
    <xf numFmtId="0" fontId="27" fillId="0" borderId="14" xfId="46" applyFont="1" applyBorder="1" applyAlignment="1">
      <alignment vertical="center" wrapText="1"/>
    </xf>
    <xf numFmtId="0" fontId="27" fillId="31" borderId="31" xfId="46" applyFont="1" applyFill="1" applyBorder="1" applyAlignment="1">
      <alignment horizontal="left" vertical="center" wrapText="1"/>
    </xf>
    <xf numFmtId="0" fontId="27" fillId="31" borderId="14" xfId="46" applyFont="1" applyFill="1" applyBorder="1" applyAlignment="1">
      <alignment horizontal="left" vertical="center" wrapText="1"/>
    </xf>
    <xf numFmtId="0" fontId="27" fillId="37" borderId="14" xfId="46" applyFont="1" applyFill="1" applyBorder="1" applyAlignment="1">
      <alignment horizontal="left" vertical="center" wrapText="1"/>
    </xf>
    <xf numFmtId="49" fontId="27" fillId="0" borderId="62" xfId="46" applyNumberFormat="1" applyFont="1" applyFill="1" applyBorder="1" applyAlignment="1">
      <alignment horizontal="center" vertical="center" wrapText="1"/>
    </xf>
    <xf numFmtId="49" fontId="27" fillId="0" borderId="10" xfId="46" applyNumberFormat="1" applyFont="1" applyFill="1" applyBorder="1" applyAlignment="1">
      <alignment horizontal="center" vertical="center" wrapText="1"/>
    </xf>
    <xf numFmtId="0" fontId="27" fillId="24" borderId="38" xfId="46" applyFont="1" applyFill="1" applyBorder="1" applyAlignment="1">
      <alignment horizontal="left"/>
    </xf>
    <xf numFmtId="0" fontId="27" fillId="24" borderId="39" xfId="46" applyFont="1" applyFill="1" applyBorder="1" applyAlignment="1">
      <alignment horizontal="left"/>
    </xf>
    <xf numFmtId="0" fontId="27" fillId="24" borderId="40" xfId="46" applyFont="1" applyFill="1" applyBorder="1" applyAlignment="1">
      <alignment horizontal="left"/>
    </xf>
    <xf numFmtId="0" fontId="27" fillId="24" borderId="56" xfId="46" applyFont="1" applyFill="1" applyBorder="1" applyAlignment="1">
      <alignment horizontal="right" vertical="center" wrapText="1"/>
    </xf>
    <xf numFmtId="0" fontId="5" fillId="0" borderId="11" xfId="46" applyBorder="1" applyAlignment="1">
      <alignment horizontal="center" vertical="center" wrapText="1"/>
    </xf>
    <xf numFmtId="0" fontId="5" fillId="0" borderId="14" xfId="46" applyBorder="1" applyAlignment="1">
      <alignment horizontal="center" vertical="center" wrapText="1"/>
    </xf>
    <xf numFmtId="0" fontId="5" fillId="0" borderId="24" xfId="46" applyBorder="1" applyAlignment="1">
      <alignment horizontal="center" vertical="center" wrapText="1"/>
    </xf>
    <xf numFmtId="0" fontId="5" fillId="0" borderId="45" xfId="46" applyBorder="1" applyAlignment="1">
      <alignment horizontal="center" vertical="center" wrapText="1"/>
    </xf>
    <xf numFmtId="0" fontId="5" fillId="0" borderId="14" xfId="46" applyFill="1" applyBorder="1" applyAlignment="1">
      <alignment horizontal="left" vertical="center" wrapText="1"/>
    </xf>
    <xf numFmtId="0" fontId="27" fillId="24" borderId="22" xfId="46" applyFont="1" applyFill="1" applyBorder="1" applyAlignment="1">
      <alignment horizontal="right" vertical="center" wrapText="1"/>
    </xf>
    <xf numFmtId="0" fontId="27" fillId="24" borderId="0" xfId="46" applyFont="1" applyFill="1" applyBorder="1" applyAlignment="1">
      <alignment horizontal="right" vertical="center" wrapText="1"/>
    </xf>
    <xf numFmtId="0" fontId="27" fillId="24" borderId="76" xfId="46" applyFont="1" applyFill="1" applyBorder="1" applyAlignment="1">
      <alignment horizontal="right" vertical="center" wrapText="1"/>
    </xf>
    <xf numFmtId="0" fontId="27" fillId="28" borderId="63" xfId="46" applyFont="1" applyFill="1" applyBorder="1" applyAlignment="1">
      <alignment horizontal="right" vertical="center" wrapText="1"/>
    </xf>
    <xf numFmtId="0" fontId="27" fillId="28" borderId="51" xfId="46" applyFont="1" applyFill="1" applyBorder="1" applyAlignment="1">
      <alignment horizontal="right" vertical="center" wrapText="1"/>
    </xf>
    <xf numFmtId="0" fontId="27" fillId="0" borderId="74" xfId="46" applyFont="1" applyBorder="1" applyAlignment="1">
      <alignment horizontal="center" vertical="center" wrapText="1"/>
    </xf>
    <xf numFmtId="0" fontId="27" fillId="0" borderId="60" xfId="46" applyFont="1" applyBorder="1" applyAlignment="1">
      <alignment horizontal="left" vertical="center" wrapText="1"/>
    </xf>
    <xf numFmtId="0" fontId="27" fillId="0" borderId="61" xfId="46" applyFont="1" applyBorder="1" applyAlignment="1">
      <alignment horizontal="left" vertical="center" wrapText="1"/>
    </xf>
    <xf numFmtId="0" fontId="27" fillId="0" borderId="22" xfId="46" applyFont="1" applyBorder="1" applyAlignment="1">
      <alignment horizontal="right"/>
    </xf>
    <xf numFmtId="0" fontId="27" fillId="0" borderId="0" xfId="46" applyFont="1" applyBorder="1" applyAlignment="1">
      <alignment horizontal="right"/>
    </xf>
    <xf numFmtId="167" fontId="27" fillId="0" borderId="0" xfId="46" applyNumberFormat="1" applyFont="1" applyBorder="1" applyAlignment="1">
      <alignment horizontal="right"/>
    </xf>
    <xf numFmtId="167" fontId="27" fillId="0" borderId="76" xfId="46" applyNumberFormat="1" applyFont="1" applyBorder="1" applyAlignment="1">
      <alignment horizontal="right"/>
    </xf>
    <xf numFmtId="167" fontId="27" fillId="0" borderId="17" xfId="46" applyNumberFormat="1" applyFont="1" applyBorder="1" applyAlignment="1">
      <alignment horizontal="center" vertical="center" wrapText="1"/>
    </xf>
    <xf numFmtId="167" fontId="27" fillId="0" borderId="46" xfId="46" applyNumberFormat="1" applyFont="1" applyBorder="1" applyAlignment="1">
      <alignment horizontal="center" vertical="center" wrapText="1"/>
    </xf>
    <xf numFmtId="167" fontId="27" fillId="0" borderId="34" xfId="46" applyNumberFormat="1" applyFont="1" applyBorder="1" applyAlignment="1">
      <alignment horizontal="center" vertical="center" textRotation="90" wrapText="1"/>
    </xf>
    <xf numFmtId="167" fontId="27" fillId="0" borderId="48" xfId="46" applyNumberFormat="1" applyFont="1" applyBorder="1" applyAlignment="1">
      <alignment horizontal="center" vertical="center" textRotation="90"/>
    </xf>
    <xf numFmtId="0" fontId="27" fillId="0" borderId="12" xfId="46" applyFont="1" applyBorder="1" applyAlignment="1">
      <alignment horizontal="center" vertical="center" textRotation="90" wrapText="1"/>
    </xf>
    <xf numFmtId="0" fontId="27" fillId="0" borderId="14" xfId="46" applyFont="1" applyBorder="1" applyAlignment="1">
      <alignment horizontal="center" vertical="center" textRotation="90" wrapText="1"/>
    </xf>
    <xf numFmtId="0" fontId="27" fillId="0" borderId="29" xfId="46" applyFont="1" applyBorder="1" applyAlignment="1">
      <alignment horizontal="center" vertical="center" textRotation="90" wrapText="1"/>
    </xf>
    <xf numFmtId="0" fontId="27" fillId="0" borderId="35" xfId="46" applyFont="1" applyBorder="1" applyAlignment="1">
      <alignment horizontal="center" vertical="center" textRotation="90" wrapText="1"/>
    </xf>
    <xf numFmtId="0" fontId="27" fillId="0" borderId="17" xfId="46" applyFont="1" applyBorder="1" applyAlignment="1">
      <alignment horizontal="center" vertical="center" textRotation="90" wrapText="1"/>
    </xf>
    <xf numFmtId="0" fontId="27" fillId="0" borderId="78" xfId="46" applyFont="1" applyBorder="1" applyAlignment="1">
      <alignment horizontal="center" vertical="center" textRotation="90" wrapText="1"/>
    </xf>
    <xf numFmtId="0" fontId="27" fillId="0" borderId="25" xfId="46" applyFont="1" applyBorder="1" applyAlignment="1">
      <alignment horizontal="center" vertical="center" textRotation="90" wrapText="1"/>
    </xf>
    <xf numFmtId="0" fontId="27" fillId="0" borderId="11" xfId="46" applyFont="1" applyBorder="1" applyAlignment="1">
      <alignment horizontal="center" vertical="center" textRotation="90" wrapText="1"/>
    </xf>
    <xf numFmtId="0" fontId="27" fillId="0" borderId="48" xfId="46" applyFont="1" applyBorder="1" applyAlignment="1">
      <alignment horizontal="center" vertical="center" textRotation="90" wrapText="1"/>
    </xf>
    <xf numFmtId="0" fontId="27" fillId="0" borderId="13" xfId="46" applyFont="1" applyBorder="1" applyAlignment="1">
      <alignment horizontal="left" vertical="center" wrapText="1"/>
    </xf>
    <xf numFmtId="0" fontId="27" fillId="30" borderId="39" xfId="46" applyFont="1" applyFill="1" applyBorder="1" applyAlignment="1">
      <alignment horizontal="left" vertical="center" wrapText="1"/>
    </xf>
    <xf numFmtId="0" fontId="27" fillId="30" borderId="40" xfId="46" applyFont="1" applyFill="1" applyBorder="1" applyAlignment="1">
      <alignment horizontal="left" vertical="center" wrapText="1"/>
    </xf>
    <xf numFmtId="0" fontId="27" fillId="29" borderId="39" xfId="46" applyFont="1" applyFill="1" applyBorder="1" applyAlignment="1">
      <alignment horizontal="left" vertical="center" wrapText="1"/>
    </xf>
    <xf numFmtId="0" fontId="27" fillId="29" borderId="40" xfId="46" applyFont="1" applyFill="1" applyBorder="1" applyAlignment="1">
      <alignment horizontal="left" vertical="center" wrapText="1"/>
    </xf>
    <xf numFmtId="0" fontId="36" fillId="0" borderId="11" xfId="46" applyFont="1" applyBorder="1" applyAlignment="1">
      <alignment horizontal="left" vertical="center" wrapText="1"/>
    </xf>
    <xf numFmtId="0" fontId="36" fillId="0" borderId="14" xfId="46" applyFont="1" applyBorder="1" applyAlignment="1">
      <alignment horizontal="left" vertical="center" wrapText="1"/>
    </xf>
    <xf numFmtId="0" fontId="36" fillId="0" borderId="17" xfId="46" applyFont="1" applyBorder="1" applyAlignment="1">
      <alignment horizontal="left" vertical="center" wrapText="1"/>
    </xf>
    <xf numFmtId="0" fontId="36" fillId="0" borderId="18" xfId="46" applyFont="1" applyBorder="1" applyAlignment="1">
      <alignment horizontal="left" vertical="center" wrapText="1"/>
    </xf>
    <xf numFmtId="0" fontId="36" fillId="0" borderId="36" xfId="46" applyFont="1" applyBorder="1" applyAlignment="1">
      <alignment horizontal="left" vertical="center" wrapText="1"/>
    </xf>
    <xf numFmtId="0" fontId="43" fillId="0" borderId="38" xfId="46" applyFont="1" applyBorder="1" applyAlignment="1">
      <alignment horizontal="right" vertical="center"/>
    </xf>
    <xf numFmtId="0" fontId="43" fillId="0" borderId="39" xfId="46" applyFont="1" applyBorder="1" applyAlignment="1">
      <alignment horizontal="right" vertical="center"/>
    </xf>
    <xf numFmtId="0" fontId="27" fillId="31" borderId="59" xfId="46" applyFont="1" applyFill="1" applyBorder="1" applyAlignment="1">
      <alignment horizontal="center" vertical="center"/>
    </xf>
    <xf numFmtId="0" fontId="36" fillId="32" borderId="38" xfId="46" applyFont="1" applyFill="1" applyBorder="1" applyAlignment="1">
      <alignment horizontal="right" vertical="center" wrapText="1"/>
    </xf>
    <xf numFmtId="0" fontId="36" fillId="32" borderId="39" xfId="46" applyFont="1" applyFill="1" applyBorder="1" applyAlignment="1">
      <alignment horizontal="right" vertical="center" wrapText="1"/>
    </xf>
    <xf numFmtId="0" fontId="36" fillId="32" borderId="40" xfId="46" applyFont="1" applyFill="1" applyBorder="1" applyAlignment="1">
      <alignment horizontal="right" vertical="center" wrapText="1"/>
    </xf>
    <xf numFmtId="0" fontId="36" fillId="40" borderId="38" xfId="46" applyFont="1" applyFill="1" applyBorder="1" applyAlignment="1">
      <alignment horizontal="right" vertical="center"/>
    </xf>
    <xf numFmtId="0" fontId="36" fillId="40" borderId="39" xfId="46" applyFont="1" applyFill="1" applyBorder="1" applyAlignment="1">
      <alignment horizontal="right" vertical="center"/>
    </xf>
    <xf numFmtId="0" fontId="36" fillId="40" borderId="40" xfId="46" applyFont="1" applyFill="1" applyBorder="1" applyAlignment="1">
      <alignment horizontal="right" vertical="center"/>
    </xf>
    <xf numFmtId="0" fontId="36" fillId="39" borderId="53" xfId="46" applyFont="1" applyFill="1" applyBorder="1" applyAlignment="1">
      <alignment horizontal="right" vertical="center" wrapText="1"/>
    </xf>
    <xf numFmtId="0" fontId="36" fillId="39" borderId="60" xfId="46" applyFont="1" applyFill="1" applyBorder="1" applyAlignment="1">
      <alignment horizontal="right" vertical="center" wrapText="1"/>
    </xf>
    <xf numFmtId="0" fontId="36" fillId="39" borderId="61" xfId="46" applyFont="1" applyFill="1" applyBorder="1" applyAlignment="1">
      <alignment horizontal="right" vertical="center" wrapText="1"/>
    </xf>
    <xf numFmtId="0" fontId="43" fillId="41" borderId="53" xfId="46" applyFont="1" applyFill="1" applyBorder="1" applyAlignment="1">
      <alignment horizontal="right" vertical="center" wrapText="1"/>
    </xf>
    <xf numFmtId="0" fontId="43" fillId="41" borderId="60" xfId="46" applyFont="1" applyFill="1" applyBorder="1" applyAlignment="1">
      <alignment horizontal="right" vertical="center" wrapText="1"/>
    </xf>
    <xf numFmtId="0" fontId="43" fillId="41" borderId="61" xfId="46" applyFont="1" applyFill="1" applyBorder="1" applyAlignment="1">
      <alignment horizontal="right" vertical="center" wrapText="1"/>
    </xf>
    <xf numFmtId="0" fontId="36" fillId="0" borderId="25" xfId="46" applyFont="1" applyBorder="1" applyAlignment="1">
      <alignment horizontal="left" vertical="center" wrapText="1"/>
    </xf>
    <xf numFmtId="0" fontId="36" fillId="0" borderId="12" xfId="46" applyFont="1" applyBorder="1" applyAlignment="1">
      <alignment horizontal="left" vertical="center" wrapText="1"/>
    </xf>
    <xf numFmtId="0" fontId="36" fillId="0" borderId="35" xfId="46" applyFont="1" applyBorder="1" applyAlignment="1">
      <alignment horizontal="left" vertical="center" wrapText="1"/>
    </xf>
    <xf numFmtId="0" fontId="27" fillId="25" borderId="15" xfId="46" applyFont="1" applyFill="1" applyBorder="1" applyAlignment="1">
      <alignment horizontal="center" vertical="center"/>
    </xf>
    <xf numFmtId="0" fontId="27" fillId="25" borderId="58" xfId="46" applyFont="1" applyFill="1" applyBorder="1" applyAlignment="1">
      <alignment horizontal="center" vertical="center"/>
    </xf>
    <xf numFmtId="0" fontId="27" fillId="25" borderId="16" xfId="46" applyFont="1" applyFill="1" applyBorder="1" applyAlignment="1">
      <alignment horizontal="center" vertical="center"/>
    </xf>
    <xf numFmtId="0" fontId="27" fillId="24" borderId="45" xfId="46" applyFont="1" applyFill="1" applyBorder="1" applyAlignment="1">
      <alignment horizontal="center" vertical="center"/>
    </xf>
    <xf numFmtId="0" fontId="27" fillId="24" borderId="62" xfId="46" applyFont="1" applyFill="1" applyBorder="1" applyAlignment="1">
      <alignment horizontal="center" vertical="center"/>
    </xf>
    <xf numFmtId="0" fontId="27" fillId="24" borderId="74" xfId="46" applyFont="1" applyFill="1" applyBorder="1" applyAlignment="1">
      <alignment horizontal="center" vertical="center"/>
    </xf>
    <xf numFmtId="0" fontId="38" fillId="0" borderId="85" xfId="46" applyFont="1" applyFill="1" applyBorder="1" applyAlignment="1">
      <alignment horizontal="left" vertical="center" wrapText="1"/>
    </xf>
    <xf numFmtId="0" fontId="38" fillId="0" borderId="0" xfId="46" applyFont="1" applyFill="1" applyBorder="1" applyAlignment="1">
      <alignment horizontal="left" vertical="center" wrapText="1"/>
    </xf>
    <xf numFmtId="0" fontId="38" fillId="0" borderId="64" xfId="46" applyFont="1" applyFill="1" applyBorder="1" applyAlignment="1">
      <alignment horizontal="left" vertical="center" wrapText="1"/>
    </xf>
    <xf numFmtId="49" fontId="36" fillId="0" borderId="24" xfId="46" applyNumberFormat="1" applyFont="1" applyBorder="1" applyAlignment="1">
      <alignment horizontal="center" vertical="center"/>
    </xf>
    <xf numFmtId="49" fontId="36" fillId="0" borderId="59" xfId="46" applyNumberFormat="1" applyFont="1" applyBorder="1" applyAlignment="1">
      <alignment horizontal="center" vertical="center"/>
    </xf>
    <xf numFmtId="49" fontId="36" fillId="0" borderId="31" xfId="46" applyNumberFormat="1" applyFont="1" applyBorder="1" applyAlignment="1">
      <alignment horizontal="center" vertical="center"/>
    </xf>
    <xf numFmtId="0" fontId="38" fillId="0" borderId="24" xfId="46" applyFont="1" applyBorder="1" applyAlignment="1">
      <alignment horizontal="left" vertical="center" wrapText="1"/>
    </xf>
    <xf numFmtId="0" fontId="38" fillId="0" borderId="59" xfId="46" applyFont="1" applyBorder="1" applyAlignment="1">
      <alignment horizontal="left" vertical="center" wrapText="1"/>
    </xf>
    <xf numFmtId="0" fontId="36" fillId="0" borderId="31" xfId="46" applyFont="1" applyBorder="1" applyAlignment="1">
      <alignment horizontal="center" vertical="center" wrapText="1"/>
    </xf>
    <xf numFmtId="0" fontId="36" fillId="0" borderId="14" xfId="46" applyFont="1" applyBorder="1" applyAlignment="1">
      <alignment horizontal="center" vertical="center" wrapText="1"/>
    </xf>
    <xf numFmtId="0" fontId="36" fillId="0" borderId="24" xfId="46" applyFont="1" applyBorder="1" applyAlignment="1">
      <alignment horizontal="center" vertical="center" wrapText="1"/>
    </xf>
    <xf numFmtId="49" fontId="36" fillId="0" borderId="14" xfId="46" applyNumberFormat="1" applyFont="1" applyBorder="1" applyAlignment="1">
      <alignment horizontal="center" vertical="center"/>
    </xf>
    <xf numFmtId="0" fontId="36" fillId="28" borderId="38" xfId="46" applyFont="1" applyFill="1" applyBorder="1" applyAlignment="1">
      <alignment horizontal="right" vertical="center" wrapText="1"/>
    </xf>
    <xf numFmtId="0" fontId="36" fillId="28" borderId="39" xfId="46" applyFont="1" applyFill="1" applyBorder="1" applyAlignment="1">
      <alignment horizontal="right" vertical="center" wrapText="1"/>
    </xf>
    <xf numFmtId="0" fontId="36" fillId="28" borderId="40" xfId="46" applyFont="1" applyFill="1" applyBorder="1" applyAlignment="1">
      <alignment horizontal="right" vertical="center" wrapText="1"/>
    </xf>
    <xf numFmtId="0" fontId="27" fillId="25" borderId="11" xfId="46" applyFont="1" applyFill="1" applyBorder="1" applyAlignment="1">
      <alignment horizontal="center" vertical="center"/>
    </xf>
    <xf numFmtId="0" fontId="38" fillId="0" borderId="14" xfId="46" applyFont="1" applyBorder="1" applyAlignment="1">
      <alignment horizontal="left" vertical="center" wrapText="1"/>
    </xf>
    <xf numFmtId="49" fontId="27" fillId="0" borderId="17" xfId="46" applyNumberFormat="1" applyFont="1" applyBorder="1" applyAlignment="1">
      <alignment horizontal="center" vertical="center"/>
    </xf>
    <xf numFmtId="0" fontId="27" fillId="0" borderId="17" xfId="46" applyFont="1" applyBorder="1" applyAlignment="1">
      <alignment horizontal="center" vertical="center"/>
    </xf>
    <xf numFmtId="0" fontId="36" fillId="28" borderId="53" xfId="46" applyFont="1" applyFill="1" applyBorder="1" applyAlignment="1">
      <alignment horizontal="right" vertical="center" wrapText="1"/>
    </xf>
    <xf numFmtId="0" fontId="36" fillId="28" borderId="60" xfId="46" applyFont="1" applyFill="1" applyBorder="1" applyAlignment="1">
      <alignment horizontal="right" vertical="center" wrapText="1"/>
    </xf>
    <xf numFmtId="0" fontId="36" fillId="28" borderId="61" xfId="46" applyFont="1" applyFill="1" applyBorder="1" applyAlignment="1">
      <alignment horizontal="right" vertical="center" wrapText="1"/>
    </xf>
    <xf numFmtId="0" fontId="27" fillId="0" borderId="13" xfId="46" applyFont="1" applyBorder="1" applyAlignment="1">
      <alignment horizontal="center" vertical="center"/>
    </xf>
    <xf numFmtId="0" fontId="27" fillId="34" borderId="14" xfId="46" applyFont="1" applyFill="1" applyBorder="1" applyAlignment="1">
      <alignment horizontal="center" vertical="center"/>
    </xf>
    <xf numFmtId="0" fontId="27" fillId="31" borderId="14" xfId="46" applyFont="1" applyFill="1" applyBorder="1" applyAlignment="1">
      <alignment horizontal="center" vertical="center"/>
    </xf>
    <xf numFmtId="0" fontId="38" fillId="31" borderId="14" xfId="46" applyFont="1" applyFill="1" applyBorder="1" applyAlignment="1">
      <alignment horizontal="left" vertical="center" wrapText="1"/>
    </xf>
    <xf numFmtId="0" fontId="27" fillId="31" borderId="17" xfId="46" applyFont="1" applyFill="1" applyBorder="1" applyAlignment="1">
      <alignment horizontal="center" vertical="center"/>
    </xf>
    <xf numFmtId="0" fontId="36" fillId="24" borderId="38" xfId="46" applyFont="1" applyFill="1" applyBorder="1" applyAlignment="1">
      <alignment horizontal="right" vertical="center" wrapText="1"/>
    </xf>
    <xf numFmtId="0" fontId="36" fillId="24" borderId="39" xfId="46" applyFont="1" applyFill="1" applyBorder="1" applyAlignment="1">
      <alignment horizontal="right" vertical="center" wrapText="1"/>
    </xf>
    <xf numFmtId="0" fontId="36" fillId="24" borderId="40" xfId="46" applyFont="1" applyFill="1" applyBorder="1" applyAlignment="1">
      <alignment horizontal="right" vertical="center" wrapText="1"/>
    </xf>
    <xf numFmtId="0" fontId="36" fillId="24" borderId="38" xfId="46" applyFont="1" applyFill="1" applyBorder="1" applyAlignment="1">
      <alignment horizontal="left" vertical="center"/>
    </xf>
    <xf numFmtId="0" fontId="36" fillId="24" borderId="39" xfId="46" applyFont="1" applyFill="1" applyBorder="1" applyAlignment="1">
      <alignment horizontal="left" vertical="center"/>
    </xf>
    <xf numFmtId="0" fontId="36" fillId="24" borderId="40" xfId="46" applyFont="1" applyFill="1" applyBorder="1" applyAlignment="1">
      <alignment horizontal="left" vertical="center"/>
    </xf>
    <xf numFmtId="0" fontId="38" fillId="0" borderId="31" xfId="46" applyFont="1" applyFill="1" applyBorder="1" applyAlignment="1">
      <alignment horizontal="left" vertical="center" wrapText="1"/>
    </xf>
    <xf numFmtId="0" fontId="38" fillId="0" borderId="14" xfId="46" applyFont="1" applyFill="1" applyBorder="1" applyAlignment="1">
      <alignment horizontal="left" vertical="center" wrapText="1"/>
    </xf>
    <xf numFmtId="0" fontId="27" fillId="0" borderId="10" xfId="46" applyFont="1" applyBorder="1" applyAlignment="1">
      <alignment horizontal="center" vertical="center"/>
    </xf>
    <xf numFmtId="0" fontId="39" fillId="25" borderId="15" xfId="46" applyFont="1" applyFill="1" applyBorder="1" applyAlignment="1">
      <alignment horizontal="center" vertical="center"/>
    </xf>
    <xf numFmtId="0" fontId="39" fillId="25" borderId="16" xfId="46" applyFont="1" applyFill="1" applyBorder="1" applyAlignment="1">
      <alignment horizontal="center" vertical="center"/>
    </xf>
    <xf numFmtId="0" fontId="36" fillId="24" borderId="62" xfId="46" applyFont="1" applyFill="1" applyBorder="1" applyAlignment="1">
      <alignment horizontal="center" vertical="center"/>
    </xf>
    <xf numFmtId="0" fontId="36" fillId="24" borderId="10" xfId="46" applyFont="1" applyFill="1" applyBorder="1" applyAlignment="1">
      <alignment horizontal="center" vertical="center"/>
    </xf>
    <xf numFmtId="0" fontId="36" fillId="0" borderId="24" xfId="46" applyFont="1" applyBorder="1" applyAlignment="1">
      <alignment horizontal="center" vertical="center"/>
    </xf>
    <xf numFmtId="0" fontId="36" fillId="0" borderId="31" xfId="46" applyFont="1" applyBorder="1" applyAlignment="1">
      <alignment horizontal="center" vertical="center"/>
    </xf>
    <xf numFmtId="0" fontId="38" fillId="0" borderId="24" xfId="46" applyFont="1" applyFill="1" applyBorder="1" applyAlignment="1">
      <alignment horizontal="left" vertical="center" wrapText="1"/>
    </xf>
    <xf numFmtId="49" fontId="36" fillId="0" borderId="45" xfId="46" applyNumberFormat="1" applyFont="1" applyBorder="1" applyAlignment="1">
      <alignment horizontal="center" vertical="center"/>
    </xf>
    <xf numFmtId="49" fontId="36" fillId="0" borderId="10" xfId="46" applyNumberFormat="1" applyFont="1" applyBorder="1" applyAlignment="1">
      <alignment horizontal="center" vertical="center"/>
    </xf>
    <xf numFmtId="0" fontId="38" fillId="0" borderId="31" xfId="46" applyFont="1" applyBorder="1" applyAlignment="1">
      <alignment horizontal="left" vertical="center" wrapText="1"/>
    </xf>
    <xf numFmtId="0" fontId="36" fillId="25" borderId="11" xfId="46" applyFont="1" applyFill="1" applyBorder="1" applyAlignment="1">
      <alignment horizontal="center" vertical="center"/>
    </xf>
    <xf numFmtId="0" fontId="36" fillId="24" borderId="14" xfId="46" applyFont="1" applyFill="1" applyBorder="1" applyAlignment="1">
      <alignment horizontal="center" vertical="center"/>
    </xf>
    <xf numFmtId="0" fontId="36" fillId="0" borderId="14" xfId="46" applyFont="1" applyBorder="1" applyAlignment="1">
      <alignment horizontal="center" vertical="center"/>
    </xf>
    <xf numFmtId="0" fontId="36" fillId="0" borderId="13" xfId="46" applyFont="1" applyBorder="1" applyAlignment="1">
      <alignment horizontal="center" vertical="center" wrapText="1"/>
    </xf>
    <xf numFmtId="0" fontId="36" fillId="0" borderId="59" xfId="46" applyFont="1" applyBorder="1" applyAlignment="1">
      <alignment horizontal="center" vertical="center" wrapText="1"/>
    </xf>
    <xf numFmtId="0" fontId="39" fillId="25" borderId="58" xfId="46" applyFont="1" applyFill="1" applyBorder="1" applyAlignment="1">
      <alignment horizontal="center" vertical="center"/>
    </xf>
    <xf numFmtId="0" fontId="36" fillId="24" borderId="24" xfId="46" applyFont="1" applyFill="1" applyBorder="1" applyAlignment="1">
      <alignment horizontal="center" vertical="center"/>
    </xf>
    <xf numFmtId="0" fontId="36" fillId="24" borderId="59" xfId="46" applyFont="1" applyFill="1" applyBorder="1" applyAlignment="1">
      <alignment horizontal="center" vertical="center"/>
    </xf>
    <xf numFmtId="0" fontId="36" fillId="24" borderId="31" xfId="46" applyFont="1" applyFill="1" applyBorder="1" applyAlignment="1">
      <alignment horizontal="center" vertical="center"/>
    </xf>
    <xf numFmtId="0" fontId="36" fillId="0" borderId="59" xfId="46" applyFont="1" applyBorder="1" applyAlignment="1">
      <alignment horizontal="center" vertical="center"/>
    </xf>
    <xf numFmtId="49" fontId="36" fillId="0" borderId="62" xfId="46" applyNumberFormat="1" applyFont="1" applyBorder="1" applyAlignment="1">
      <alignment horizontal="center" vertical="center"/>
    </xf>
    <xf numFmtId="0" fontId="38" fillId="0" borderId="59" xfId="46" applyFont="1" applyFill="1" applyBorder="1" applyAlignment="1">
      <alignment horizontal="left" vertical="center" wrapText="1"/>
    </xf>
    <xf numFmtId="49" fontId="36" fillId="0" borderId="17" xfId="46" applyNumberFormat="1" applyFont="1" applyBorder="1" applyAlignment="1">
      <alignment horizontal="center" vertical="center"/>
    </xf>
    <xf numFmtId="0" fontId="36" fillId="31" borderId="13" xfId="46" applyFont="1" applyFill="1" applyBorder="1" applyAlignment="1">
      <alignment horizontal="center" vertical="center" wrapText="1"/>
    </xf>
    <xf numFmtId="0" fontId="36" fillId="31" borderId="59" xfId="46" applyFont="1" applyFill="1" applyBorder="1" applyAlignment="1">
      <alignment horizontal="center" vertical="center" wrapText="1"/>
    </xf>
    <xf numFmtId="0" fontId="36" fillId="31" borderId="55" xfId="46" applyFont="1" applyFill="1" applyBorder="1" applyAlignment="1">
      <alignment horizontal="center" vertical="center" wrapText="1"/>
    </xf>
    <xf numFmtId="0" fontId="36" fillId="24" borderId="53" xfId="46" applyFont="1" applyFill="1" applyBorder="1" applyAlignment="1">
      <alignment horizontal="right" vertical="center" wrapText="1"/>
    </xf>
    <xf numFmtId="0" fontId="36" fillId="24" borderId="60" xfId="46" applyFont="1" applyFill="1" applyBorder="1" applyAlignment="1">
      <alignment horizontal="right" vertical="center" wrapText="1"/>
    </xf>
    <xf numFmtId="0" fontId="36" fillId="24" borderId="61" xfId="46" applyFont="1" applyFill="1" applyBorder="1" applyAlignment="1">
      <alignment horizontal="right" vertical="center" wrapText="1"/>
    </xf>
    <xf numFmtId="0" fontId="36" fillId="24" borderId="38" xfId="46" applyFont="1" applyFill="1" applyBorder="1" applyAlignment="1">
      <alignment horizontal="left" vertical="center" wrapText="1"/>
    </xf>
    <xf numFmtId="0" fontId="36" fillId="24" borderId="39" xfId="46" applyFont="1" applyFill="1" applyBorder="1" applyAlignment="1">
      <alignment horizontal="left" vertical="center" wrapText="1"/>
    </xf>
    <xf numFmtId="0" fontId="36" fillId="24" borderId="40" xfId="46" applyFont="1" applyFill="1" applyBorder="1" applyAlignment="1">
      <alignment horizontal="left" vertical="center" wrapText="1"/>
    </xf>
    <xf numFmtId="0" fontId="39" fillId="33" borderId="15" xfId="46" applyFont="1" applyFill="1" applyBorder="1" applyAlignment="1">
      <alignment horizontal="center" vertical="center"/>
    </xf>
    <xf numFmtId="0" fontId="39" fillId="33" borderId="58" xfId="46" applyFont="1" applyFill="1" applyBorder="1" applyAlignment="1">
      <alignment horizontal="center" vertical="center"/>
    </xf>
    <xf numFmtId="0" fontId="39" fillId="33" borderId="16" xfId="46" applyFont="1" applyFill="1" applyBorder="1" applyAlignment="1">
      <alignment horizontal="center" vertical="center"/>
    </xf>
    <xf numFmtId="0" fontId="36" fillId="34" borderId="24" xfId="46" applyFont="1" applyFill="1" applyBorder="1" applyAlignment="1">
      <alignment horizontal="center" vertical="center"/>
    </xf>
    <xf numFmtId="0" fontId="36" fillId="34" borderId="59" xfId="46" applyFont="1" applyFill="1" applyBorder="1" applyAlignment="1">
      <alignment horizontal="center" vertical="center"/>
    </xf>
    <xf numFmtId="0" fontId="36" fillId="34" borderId="31" xfId="46" applyFont="1" applyFill="1" applyBorder="1" applyAlignment="1">
      <alignment horizontal="center" vertical="center"/>
    </xf>
    <xf numFmtId="0" fontId="36" fillId="31" borderId="14" xfId="46" applyFont="1" applyFill="1" applyBorder="1" applyAlignment="1">
      <alignment horizontal="center" vertical="center"/>
    </xf>
    <xf numFmtId="0" fontId="38" fillId="31" borderId="24" xfId="46" applyFont="1" applyFill="1" applyBorder="1" applyAlignment="1">
      <alignment horizontal="left" vertical="center" wrapText="1"/>
    </xf>
    <xf numFmtId="0" fontId="38" fillId="31" borderId="59" xfId="46" applyFont="1" applyFill="1" applyBorder="1" applyAlignment="1">
      <alignment horizontal="left" vertical="center" wrapText="1"/>
    </xf>
    <xf numFmtId="0" fontId="38" fillId="31" borderId="31" xfId="46" applyFont="1" applyFill="1" applyBorder="1" applyAlignment="1">
      <alignment horizontal="left" vertical="center" wrapText="1"/>
    </xf>
    <xf numFmtId="49" fontId="36" fillId="31" borderId="45" xfId="46" applyNumberFormat="1" applyFont="1" applyFill="1" applyBorder="1" applyAlignment="1">
      <alignment horizontal="center" vertical="center"/>
    </xf>
    <xf numFmtId="49" fontId="36" fillId="31" borderId="62" xfId="46" applyNumberFormat="1" applyFont="1" applyFill="1" applyBorder="1" applyAlignment="1">
      <alignment horizontal="center" vertical="center"/>
    </xf>
    <xf numFmtId="49" fontId="36" fillId="31" borderId="10" xfId="46" applyNumberFormat="1" applyFont="1" applyFill="1" applyBorder="1" applyAlignment="1">
      <alignment horizontal="center" vertical="center"/>
    </xf>
    <xf numFmtId="0" fontId="36" fillId="34" borderId="38" xfId="46" applyFont="1" applyFill="1" applyBorder="1" applyAlignment="1">
      <alignment horizontal="right" vertical="center"/>
    </xf>
    <xf numFmtId="0" fontId="36" fillId="34" borderId="39" xfId="46" applyFont="1" applyFill="1" applyBorder="1" applyAlignment="1">
      <alignment horizontal="right" vertical="center"/>
    </xf>
    <xf numFmtId="0" fontId="36" fillId="34" borderId="40" xfId="46" applyFont="1" applyFill="1" applyBorder="1" applyAlignment="1">
      <alignment horizontal="right" vertical="center"/>
    </xf>
    <xf numFmtId="0" fontId="36" fillId="33" borderId="38" xfId="46" applyFont="1" applyFill="1" applyBorder="1" applyAlignment="1">
      <alignment horizontal="right" vertical="center"/>
    </xf>
    <xf numFmtId="0" fontId="36" fillId="33" borderId="39" xfId="46" applyFont="1" applyFill="1" applyBorder="1" applyAlignment="1">
      <alignment horizontal="right" vertical="center"/>
    </xf>
    <xf numFmtId="0" fontId="36" fillId="33" borderId="40" xfId="46" applyFont="1" applyFill="1" applyBorder="1" applyAlignment="1">
      <alignment horizontal="right" vertical="center"/>
    </xf>
    <xf numFmtId="0" fontId="36" fillId="33" borderId="38" xfId="46" applyFont="1" applyFill="1" applyBorder="1" applyAlignment="1">
      <alignment horizontal="left" vertical="center" wrapText="1"/>
    </xf>
    <xf numFmtId="0" fontId="36" fillId="33" borderId="39" xfId="46" applyFont="1" applyFill="1" applyBorder="1" applyAlignment="1">
      <alignment horizontal="left" vertical="center" wrapText="1"/>
    </xf>
    <xf numFmtId="0" fontId="36" fillId="33" borderId="40" xfId="46" applyFont="1" applyFill="1" applyBorder="1" applyAlignment="1">
      <alignment horizontal="left" vertical="center" wrapText="1"/>
    </xf>
    <xf numFmtId="0" fontId="36" fillId="34" borderId="38" xfId="46" applyFont="1" applyFill="1" applyBorder="1" applyAlignment="1">
      <alignment horizontal="left" vertical="center" wrapText="1"/>
    </xf>
    <xf numFmtId="0" fontId="36" fillId="34" borderId="39" xfId="46" applyFont="1" applyFill="1" applyBorder="1" applyAlignment="1">
      <alignment horizontal="left" vertical="center" wrapText="1"/>
    </xf>
    <xf numFmtId="0" fontId="36" fillId="34" borderId="40" xfId="46" applyFont="1" applyFill="1" applyBorder="1" applyAlignment="1">
      <alignment horizontal="left" vertical="center" wrapText="1"/>
    </xf>
    <xf numFmtId="0" fontId="36" fillId="33" borderId="11" xfId="46" applyFont="1" applyFill="1" applyBorder="1" applyAlignment="1">
      <alignment horizontal="center" vertical="center"/>
    </xf>
    <xf numFmtId="0" fontId="36" fillId="34" borderId="14" xfId="46" applyFont="1" applyFill="1" applyBorder="1" applyAlignment="1">
      <alignment horizontal="center" vertical="center"/>
    </xf>
    <xf numFmtId="0" fontId="36" fillId="31" borderId="31" xfId="46" applyFont="1" applyFill="1" applyBorder="1" applyAlignment="1">
      <alignment horizontal="center" vertical="center"/>
    </xf>
    <xf numFmtId="49" fontId="36" fillId="31" borderId="17" xfId="46" applyNumberFormat="1" applyFont="1" applyFill="1" applyBorder="1" applyAlignment="1">
      <alignment horizontal="center" vertical="center"/>
    </xf>
    <xf numFmtId="0" fontId="36" fillId="32" borderId="53" xfId="46" applyFont="1" applyFill="1" applyBorder="1" applyAlignment="1">
      <alignment horizontal="right" vertical="center" wrapText="1"/>
    </xf>
    <xf numFmtId="0" fontId="36" fillId="32" borderId="60" xfId="46" applyFont="1" applyFill="1" applyBorder="1" applyAlignment="1">
      <alignment horizontal="right" vertical="center" wrapText="1"/>
    </xf>
    <xf numFmtId="0" fontId="36" fillId="32" borderId="61" xfId="46" applyFont="1" applyFill="1" applyBorder="1" applyAlignment="1">
      <alignment horizontal="right" vertical="center" wrapText="1"/>
    </xf>
    <xf numFmtId="0" fontId="27" fillId="32" borderId="41" xfId="46" applyFont="1" applyFill="1" applyBorder="1" applyAlignment="1">
      <alignment horizontal="right" vertical="center"/>
    </xf>
    <xf numFmtId="0" fontId="27" fillId="32" borderId="42" xfId="46" applyFont="1" applyFill="1" applyBorder="1" applyAlignment="1">
      <alignment horizontal="right" vertical="center"/>
    </xf>
    <xf numFmtId="0" fontId="27" fillId="32" borderId="43" xfId="46" applyFont="1" applyFill="1" applyBorder="1" applyAlignment="1">
      <alignment horizontal="right" vertical="center"/>
    </xf>
    <xf numFmtId="0" fontId="27" fillId="39" borderId="11" xfId="46" applyFont="1" applyFill="1" applyBorder="1" applyAlignment="1">
      <alignment horizontal="center" vertical="center"/>
    </xf>
    <xf numFmtId="0" fontId="27" fillId="40" borderId="14" xfId="46" applyFont="1" applyFill="1" applyBorder="1" applyAlignment="1">
      <alignment horizontal="center" vertical="center"/>
    </xf>
    <xf numFmtId="0" fontId="38" fillId="31" borderId="31" xfId="46" applyFont="1" applyFill="1" applyBorder="1" applyAlignment="1">
      <alignment vertical="center" wrapText="1"/>
    </xf>
    <xf numFmtId="0" fontId="38" fillId="31" borderId="14" xfId="46" applyFont="1" applyFill="1" applyBorder="1" applyAlignment="1">
      <alignment vertical="center" wrapText="1"/>
    </xf>
    <xf numFmtId="0" fontId="27" fillId="39" borderId="16" xfId="46" applyFont="1" applyFill="1" applyBorder="1" applyAlignment="1">
      <alignment horizontal="center" vertical="center"/>
    </xf>
    <xf numFmtId="0" fontId="27" fillId="40" borderId="31" xfId="46" applyFont="1" applyFill="1" applyBorder="1" applyAlignment="1">
      <alignment horizontal="center" vertical="center"/>
    </xf>
    <xf numFmtId="0" fontId="27" fillId="31" borderId="24" xfId="46" applyFont="1" applyFill="1" applyBorder="1" applyAlignment="1">
      <alignment horizontal="center" vertical="center"/>
    </xf>
    <xf numFmtId="0" fontId="27" fillId="31" borderId="55" xfId="46" applyFont="1" applyFill="1" applyBorder="1" applyAlignment="1">
      <alignment horizontal="center" vertical="center"/>
    </xf>
    <xf numFmtId="0" fontId="27" fillId="31" borderId="62" xfId="46" applyFont="1" applyFill="1" applyBorder="1" applyAlignment="1">
      <alignment horizontal="center" vertical="center"/>
    </xf>
    <xf numFmtId="0" fontId="27" fillId="32" borderId="22" xfId="46" applyFont="1" applyFill="1" applyBorder="1" applyAlignment="1">
      <alignment horizontal="right" vertical="center"/>
    </xf>
    <xf numFmtId="0" fontId="27" fillId="32" borderId="0" xfId="46" applyFont="1" applyFill="1" applyBorder="1" applyAlignment="1">
      <alignment horizontal="right" vertical="center"/>
    </xf>
    <xf numFmtId="0" fontId="27" fillId="32" borderId="76" xfId="46" applyFont="1" applyFill="1" applyBorder="1" applyAlignment="1">
      <alignment horizontal="right" vertical="center"/>
    </xf>
    <xf numFmtId="0" fontId="38" fillId="0" borderId="31" xfId="46" applyFont="1" applyBorder="1" applyAlignment="1">
      <alignment vertical="center" wrapText="1"/>
    </xf>
    <xf numFmtId="0" fontId="38" fillId="0" borderId="14" xfId="46" applyFont="1" applyBorder="1" applyAlignment="1">
      <alignment vertical="center" wrapText="1"/>
    </xf>
    <xf numFmtId="0" fontId="36" fillId="0" borderId="62" xfId="46" applyFont="1" applyBorder="1" applyAlignment="1">
      <alignment horizontal="center" vertical="center" wrapText="1"/>
    </xf>
    <xf numFmtId="0" fontId="36" fillId="25" borderId="15" xfId="46" applyFont="1" applyFill="1" applyBorder="1" applyAlignment="1">
      <alignment horizontal="center" vertical="center"/>
    </xf>
    <xf numFmtId="0" fontId="36" fillId="25" borderId="16" xfId="46" applyFont="1" applyFill="1" applyBorder="1" applyAlignment="1">
      <alignment horizontal="center" vertical="center"/>
    </xf>
    <xf numFmtId="0" fontId="36" fillId="31" borderId="24" xfId="46" applyFont="1" applyFill="1" applyBorder="1" applyAlignment="1">
      <alignment horizontal="center" vertical="center"/>
    </xf>
    <xf numFmtId="0" fontId="36" fillId="31" borderId="59" xfId="46" applyFont="1" applyFill="1" applyBorder="1" applyAlignment="1">
      <alignment horizontal="center" vertical="center"/>
    </xf>
    <xf numFmtId="0" fontId="36" fillId="25" borderId="58" xfId="46" applyFont="1" applyFill="1" applyBorder="1" applyAlignment="1">
      <alignment horizontal="center" vertical="center"/>
    </xf>
    <xf numFmtId="0" fontId="39" fillId="25" borderId="11" xfId="46" applyFont="1" applyFill="1" applyBorder="1" applyAlignment="1">
      <alignment horizontal="center" vertical="center"/>
    </xf>
    <xf numFmtId="0" fontId="36" fillId="24" borderId="38" xfId="46" applyFont="1" applyFill="1" applyBorder="1" applyAlignment="1">
      <alignment horizontal="right" vertical="center"/>
    </xf>
    <xf numFmtId="0" fontId="36" fillId="24" borderId="64" xfId="46" applyFont="1" applyFill="1" applyBorder="1" applyAlignment="1">
      <alignment horizontal="right" vertical="center"/>
    </xf>
    <xf numFmtId="0" fontId="36" fillId="24" borderId="39" xfId="46" applyFont="1" applyFill="1" applyBorder="1" applyAlignment="1">
      <alignment horizontal="right" vertical="center"/>
    </xf>
    <xf numFmtId="0" fontId="36" fillId="24" borderId="40" xfId="46" applyFont="1" applyFill="1" applyBorder="1" applyAlignment="1">
      <alignment horizontal="right" vertical="center"/>
    </xf>
    <xf numFmtId="49" fontId="27" fillId="0" borderId="10" xfId="46" applyNumberFormat="1" applyFont="1" applyBorder="1" applyAlignment="1">
      <alignment horizontal="center" vertical="center"/>
    </xf>
    <xf numFmtId="0" fontId="27" fillId="28" borderId="22" xfId="46" applyFont="1" applyFill="1" applyBorder="1" applyAlignment="1">
      <alignment horizontal="right" vertical="center" wrapText="1"/>
    </xf>
    <xf numFmtId="0" fontId="27" fillId="28" borderId="0" xfId="46" applyFont="1" applyFill="1" applyBorder="1" applyAlignment="1">
      <alignment horizontal="right" vertical="center" wrapText="1"/>
    </xf>
    <xf numFmtId="0" fontId="27" fillId="28" borderId="76" xfId="46" applyFont="1" applyFill="1" applyBorder="1" applyAlignment="1">
      <alignment horizontal="right" vertical="center" wrapText="1"/>
    </xf>
    <xf numFmtId="0" fontId="36" fillId="30" borderId="38" xfId="46" applyFont="1" applyFill="1" applyBorder="1" applyAlignment="1">
      <alignment horizontal="left" vertical="center" wrapText="1"/>
    </xf>
    <xf numFmtId="0" fontId="36" fillId="30" borderId="39" xfId="46" applyFont="1" applyFill="1" applyBorder="1" applyAlignment="1">
      <alignment horizontal="left" vertical="center" wrapText="1"/>
    </xf>
    <xf numFmtId="0" fontId="36" fillId="30" borderId="40" xfId="46" applyFont="1" applyFill="1" applyBorder="1" applyAlignment="1">
      <alignment horizontal="left" vertical="center" wrapText="1"/>
    </xf>
    <xf numFmtId="0" fontId="36" fillId="29" borderId="38" xfId="46" applyFont="1" applyFill="1" applyBorder="1" applyAlignment="1">
      <alignment horizontal="left" vertical="center" wrapText="1"/>
    </xf>
    <xf numFmtId="0" fontId="36" fillId="29" borderId="39" xfId="46" applyFont="1" applyFill="1" applyBorder="1" applyAlignment="1">
      <alignment horizontal="left" vertical="center" wrapText="1"/>
    </xf>
    <xf numFmtId="0" fontId="36" fillId="29" borderId="40" xfId="46" applyFont="1" applyFill="1" applyBorder="1" applyAlignment="1">
      <alignment horizontal="left" vertical="center" wrapText="1"/>
    </xf>
    <xf numFmtId="0" fontId="36" fillId="25" borderId="38" xfId="46" applyFont="1" applyFill="1" applyBorder="1" applyAlignment="1">
      <alignment horizontal="left" vertical="center" wrapText="1"/>
    </xf>
    <xf numFmtId="0" fontId="36" fillId="25" borderId="39" xfId="46" applyFont="1" applyFill="1" applyBorder="1" applyAlignment="1">
      <alignment horizontal="left" vertical="center" wrapText="1"/>
    </xf>
    <xf numFmtId="0" fontId="36" fillId="25" borderId="40" xfId="46" applyFont="1" applyFill="1" applyBorder="1" applyAlignment="1">
      <alignment horizontal="left" vertical="center" wrapText="1"/>
    </xf>
    <xf numFmtId="0" fontId="36" fillId="0" borderId="55" xfId="46" applyFont="1" applyBorder="1" applyAlignment="1">
      <alignment horizontal="center" vertical="center" wrapText="1"/>
    </xf>
    <xf numFmtId="167" fontId="27" fillId="0" borderId="35" xfId="46" applyNumberFormat="1" applyFont="1" applyBorder="1" applyAlignment="1">
      <alignment horizontal="center" vertical="center" wrapText="1"/>
    </xf>
    <xf numFmtId="167" fontId="27" fillId="0" borderId="17" xfId="46" applyNumberFormat="1" applyFont="1" applyBorder="1" applyAlignment="1">
      <alignment horizontal="center" vertical="center" textRotation="90" wrapText="1"/>
    </xf>
    <xf numFmtId="167" fontId="27" fillId="0" borderId="45" xfId="46" applyNumberFormat="1" applyFont="1" applyBorder="1" applyAlignment="1">
      <alignment horizontal="center" vertical="center" textRotation="90" wrapText="1"/>
    </xf>
    <xf numFmtId="167" fontId="27" fillId="0" borderId="11" xfId="46" applyNumberFormat="1" applyFont="1" applyBorder="1" applyAlignment="1">
      <alignment horizontal="center" vertical="center" wrapText="1"/>
    </xf>
    <xf numFmtId="167" fontId="27" fillId="0" borderId="15" xfId="46" applyNumberFormat="1" applyFont="1" applyBorder="1" applyAlignment="1">
      <alignment horizontal="center" vertical="center" wrapText="1"/>
    </xf>
    <xf numFmtId="0" fontId="27" fillId="0" borderId="60" xfId="46" applyFont="1" applyBorder="1" applyAlignment="1">
      <alignment horizontal="left" vertical="top" wrapText="1"/>
    </xf>
    <xf numFmtId="0" fontId="27" fillId="0" borderId="61" xfId="46" applyFont="1" applyBorder="1" applyAlignment="1">
      <alignment horizontal="left" vertical="top" wrapText="1"/>
    </xf>
    <xf numFmtId="0" fontId="37" fillId="0" borderId="22" xfId="46" applyFont="1" applyBorder="1" applyAlignment="1">
      <alignment horizontal="center" wrapText="1"/>
    </xf>
    <xf numFmtId="0" fontId="37" fillId="0" borderId="0" xfId="46" applyFont="1" applyBorder="1" applyAlignment="1">
      <alignment horizontal="center" wrapText="1"/>
    </xf>
    <xf numFmtId="0" fontId="37" fillId="0" borderId="76" xfId="46" applyFont="1" applyBorder="1" applyAlignment="1">
      <alignment horizontal="center" wrapText="1"/>
    </xf>
    <xf numFmtId="0" fontId="26" fillId="0" borderId="63" xfId="46" applyFont="1" applyBorder="1" applyAlignment="1">
      <alignment horizontal="right"/>
    </xf>
    <xf numFmtId="0" fontId="26" fillId="0" borderId="64" xfId="46" applyFont="1" applyBorder="1" applyAlignment="1">
      <alignment horizontal="right"/>
    </xf>
    <xf numFmtId="167" fontId="27" fillId="0" borderId="64" xfId="46" applyNumberFormat="1" applyFont="1" applyBorder="1" applyAlignment="1">
      <alignment horizontal="center"/>
    </xf>
    <xf numFmtId="0" fontId="27" fillId="31" borderId="13" xfId="46" applyFont="1" applyFill="1" applyBorder="1" applyAlignment="1">
      <alignment horizontal="center" vertical="center"/>
    </xf>
    <xf numFmtId="0" fontId="27" fillId="31" borderId="31" xfId="46" applyFont="1" applyFill="1" applyBorder="1" applyAlignment="1">
      <alignment horizontal="center" vertical="center"/>
    </xf>
    <xf numFmtId="0" fontId="38" fillId="0" borderId="67" xfId="46" applyFont="1" applyBorder="1" applyAlignment="1">
      <alignment horizontal="left" vertical="center" wrapText="1"/>
    </xf>
    <xf numFmtId="0" fontId="38" fillId="0" borderId="68" xfId="46" applyFont="1" applyBorder="1" applyAlignment="1">
      <alignment horizontal="left" vertical="center" wrapText="1"/>
    </xf>
    <xf numFmtId="167" fontId="5" fillId="0" borderId="0" xfId="50" applyNumberFormat="1" applyFont="1" applyAlignment="1">
      <alignment horizontal="left" vertical="center" wrapText="1"/>
    </xf>
    <xf numFmtId="0" fontId="24" fillId="0" borderId="0" xfId="50" applyFont="1" applyAlignment="1">
      <alignment horizontal="center" wrapText="1"/>
    </xf>
    <xf numFmtId="0" fontId="45" fillId="0" borderId="0" xfId="50" applyFont="1" applyAlignment="1">
      <alignment horizontal="center" wrapText="1"/>
    </xf>
    <xf numFmtId="0" fontId="51" fillId="0" borderId="0" xfId="50" applyFont="1" applyAlignment="1">
      <alignment horizontal="right"/>
    </xf>
    <xf numFmtId="167" fontId="51" fillId="0" borderId="64" xfId="50" applyNumberFormat="1" applyFont="1" applyBorder="1" applyAlignment="1">
      <alignment horizontal="center"/>
    </xf>
    <xf numFmtId="167" fontId="27" fillId="0" borderId="64" xfId="50" applyNumberFormat="1" applyFont="1" applyBorder="1" applyAlignment="1">
      <alignment horizontal="center"/>
    </xf>
    <xf numFmtId="167" fontId="27" fillId="0" borderId="83" xfId="50" applyNumberFormat="1" applyFont="1" applyBorder="1" applyAlignment="1">
      <alignment horizontal="center" vertical="center" textRotation="90"/>
    </xf>
    <xf numFmtId="167" fontId="27" fillId="0" borderId="22" xfId="50" applyNumberFormat="1" applyFont="1" applyBorder="1" applyAlignment="1">
      <alignment horizontal="center" vertical="center" textRotation="90"/>
    </xf>
    <xf numFmtId="167" fontId="27" fillId="0" borderId="17" xfId="50" applyNumberFormat="1" applyFont="1" applyBorder="1" applyAlignment="1">
      <alignment horizontal="center" vertical="center" wrapText="1"/>
    </xf>
    <xf numFmtId="167" fontId="27" fillId="0" borderId="36" xfId="50" applyNumberFormat="1" applyFont="1" applyBorder="1" applyAlignment="1">
      <alignment horizontal="center" vertical="center" wrapText="1"/>
    </xf>
    <xf numFmtId="167" fontId="27" fillId="0" borderId="47" xfId="50" applyNumberFormat="1" applyFont="1" applyBorder="1" applyAlignment="1">
      <alignment horizontal="center" vertical="center" wrapText="1"/>
    </xf>
    <xf numFmtId="167" fontId="27" fillId="0" borderId="20" xfId="50" applyNumberFormat="1" applyFont="1" applyBorder="1" applyAlignment="1">
      <alignment horizontal="center" vertical="center" textRotation="90" wrapText="1"/>
    </xf>
    <xf numFmtId="167" fontId="27" fillId="0" borderId="23" xfId="50" applyNumberFormat="1" applyFont="1" applyBorder="1" applyAlignment="1">
      <alignment horizontal="center" vertical="center" textRotation="90" wrapText="1"/>
    </xf>
    <xf numFmtId="0" fontId="27" fillId="0" borderId="67" xfId="50" applyFont="1" applyBorder="1" applyAlignment="1">
      <alignment horizontal="center" vertical="center" textRotation="90" wrapText="1"/>
    </xf>
    <xf numFmtId="0" fontId="27" fillId="0" borderId="68" xfId="50" applyFont="1" applyBorder="1" applyAlignment="1">
      <alignment horizontal="center" vertical="center" textRotation="90" wrapText="1"/>
    </xf>
    <xf numFmtId="0" fontId="27" fillId="0" borderId="73" xfId="50" applyFont="1" applyBorder="1" applyAlignment="1">
      <alignment horizontal="center" vertical="center" textRotation="90" wrapText="1"/>
    </xf>
    <xf numFmtId="0" fontId="27" fillId="0" borderId="81" xfId="50" applyFont="1" applyBorder="1" applyAlignment="1">
      <alignment horizontal="center" vertical="center" textRotation="90" wrapText="1"/>
    </xf>
    <xf numFmtId="0" fontId="27" fillId="0" borderId="82" xfId="50" applyFont="1" applyBorder="1" applyAlignment="1">
      <alignment horizontal="center" vertical="center" textRotation="90" wrapText="1"/>
    </xf>
    <xf numFmtId="0" fontId="27" fillId="0" borderId="18" xfId="50" applyFont="1" applyBorder="1" applyAlignment="1">
      <alignment horizontal="center" vertical="center" textRotation="90" wrapText="1"/>
    </xf>
    <xf numFmtId="0" fontId="27" fillId="0" borderId="83" xfId="50" applyFont="1" applyBorder="1" applyAlignment="1">
      <alignment horizontal="center" vertical="center" textRotation="90" wrapText="1"/>
    </xf>
    <xf numFmtId="167" fontId="27" fillId="0" borderId="25" xfId="50" applyNumberFormat="1" applyFont="1" applyBorder="1" applyAlignment="1">
      <alignment horizontal="center" vertical="center" wrapText="1"/>
    </xf>
    <xf numFmtId="167" fontId="27" fillId="0" borderId="12" xfId="50" applyNumberFormat="1" applyFont="1" applyBorder="1" applyAlignment="1">
      <alignment horizontal="center" vertical="center" wrapText="1"/>
    </xf>
    <xf numFmtId="167" fontId="27" fillId="0" borderId="26" xfId="50" applyNumberFormat="1" applyFont="1" applyBorder="1" applyAlignment="1">
      <alignment horizontal="center" vertical="center" wrapText="1"/>
    </xf>
    <xf numFmtId="0" fontId="27" fillId="25" borderId="58" xfId="50" applyFont="1" applyFill="1" applyBorder="1" applyAlignment="1">
      <alignment horizontal="center" vertical="center"/>
    </xf>
    <xf numFmtId="0" fontId="27" fillId="25" borderId="16" xfId="50" applyFont="1" applyFill="1" applyBorder="1" applyAlignment="1">
      <alignment horizontal="center" vertical="center"/>
    </xf>
    <xf numFmtId="0" fontId="27" fillId="24" borderId="31" xfId="50" applyFont="1" applyFill="1" applyBorder="1" applyAlignment="1">
      <alignment horizontal="center" vertical="center"/>
    </xf>
    <xf numFmtId="0" fontId="27" fillId="24" borderId="14" xfId="50" applyFont="1" applyFill="1" applyBorder="1" applyAlignment="1">
      <alignment horizontal="center" vertical="center"/>
    </xf>
    <xf numFmtId="0" fontId="27" fillId="0" borderId="14" xfId="50" applyFont="1" applyBorder="1" applyAlignment="1">
      <alignment horizontal="center" vertical="center"/>
    </xf>
    <xf numFmtId="0" fontId="27" fillId="0" borderId="14" xfId="50" applyFont="1" applyBorder="1" applyAlignment="1">
      <alignment horizontal="left" vertical="center" wrapText="1"/>
    </xf>
    <xf numFmtId="49" fontId="27" fillId="0" borderId="14" xfId="50" applyNumberFormat="1" applyFont="1" applyBorder="1" applyAlignment="1">
      <alignment horizontal="center" vertical="center"/>
    </xf>
    <xf numFmtId="49" fontId="27" fillId="0" borderId="17" xfId="50" applyNumberFormat="1" applyFont="1" applyBorder="1" applyAlignment="1">
      <alignment horizontal="center" vertical="center"/>
    </xf>
    <xf numFmtId="0" fontId="27" fillId="28" borderId="38" xfId="50" applyFont="1" applyFill="1" applyBorder="1" applyAlignment="1">
      <alignment horizontal="right" vertical="center" wrapText="1"/>
    </xf>
    <xf numFmtId="0" fontId="27" fillId="28" borderId="39" xfId="50" applyFont="1" applyFill="1" applyBorder="1" applyAlignment="1">
      <alignment horizontal="right" vertical="center" wrapText="1"/>
    </xf>
    <xf numFmtId="0" fontId="27" fillId="28" borderId="40" xfId="50" applyFont="1" applyFill="1" applyBorder="1" applyAlignment="1">
      <alignment horizontal="right" vertical="center" wrapText="1"/>
    </xf>
    <xf numFmtId="0" fontId="27" fillId="30" borderId="77" xfId="50" applyFont="1" applyFill="1" applyBorder="1" applyAlignment="1">
      <alignment horizontal="left" vertical="center" wrapText="1"/>
    </xf>
    <xf numFmtId="0" fontId="27" fillId="29" borderId="77" xfId="50" applyFont="1" applyFill="1" applyBorder="1" applyAlignment="1">
      <alignment horizontal="left" vertical="center" wrapText="1"/>
    </xf>
    <xf numFmtId="0" fontId="27" fillId="25" borderId="77" xfId="50" applyFont="1" applyFill="1" applyBorder="1" applyAlignment="1">
      <alignment horizontal="left" vertical="center" wrapText="1"/>
    </xf>
    <xf numFmtId="0" fontId="27" fillId="24" borderId="77" xfId="50" applyFont="1" applyFill="1" applyBorder="1" applyAlignment="1">
      <alignment horizontal="left" vertical="center" wrapText="1"/>
    </xf>
    <xf numFmtId="0" fontId="27" fillId="0" borderId="31" xfId="50" applyFont="1" applyBorder="1" applyAlignment="1">
      <alignment horizontal="center" vertical="center"/>
    </xf>
    <xf numFmtId="0" fontId="27" fillId="0" borderId="57" xfId="50" applyFont="1" applyBorder="1" applyAlignment="1">
      <alignment horizontal="center" vertical="center" textRotation="90" wrapText="1"/>
    </xf>
    <xf numFmtId="0" fontId="27" fillId="0" borderId="65" xfId="50" applyFont="1" applyBorder="1" applyAlignment="1">
      <alignment horizontal="center" vertical="center" textRotation="90" wrapText="1"/>
    </xf>
    <xf numFmtId="0" fontId="27" fillId="0" borderId="66" xfId="50" applyFont="1" applyBorder="1" applyAlignment="1">
      <alignment horizontal="center" vertical="center" textRotation="90" wrapText="1"/>
    </xf>
    <xf numFmtId="0" fontId="27" fillId="0" borderId="21" xfId="50" applyFont="1" applyBorder="1" applyAlignment="1">
      <alignment horizontal="center" vertical="center" textRotation="90" wrapText="1"/>
    </xf>
    <xf numFmtId="0" fontId="51" fillId="0" borderId="68" xfId="50" applyFont="1" applyBorder="1" applyAlignment="1">
      <alignment horizontal="center" vertical="center" textRotation="90" wrapText="1"/>
    </xf>
    <xf numFmtId="0" fontId="27" fillId="0" borderId="67" xfId="50" applyFont="1" applyBorder="1" applyAlignment="1">
      <alignment horizontal="left" vertical="center" wrapText="1"/>
    </xf>
    <xf numFmtId="0" fontId="27" fillId="0" borderId="68" xfId="50" applyFont="1" applyBorder="1" applyAlignment="1">
      <alignment horizontal="left" vertical="center" wrapText="1"/>
    </xf>
    <xf numFmtId="0" fontId="51" fillId="0" borderId="66" xfId="50" applyFont="1" applyBorder="1" applyAlignment="1">
      <alignment horizontal="center" vertical="center" textRotation="90" wrapText="1"/>
    </xf>
    <xf numFmtId="0" fontId="51" fillId="0" borderId="21" xfId="50" applyFont="1" applyBorder="1" applyAlignment="1">
      <alignment horizontal="center" vertical="center" textRotation="90" wrapText="1"/>
    </xf>
    <xf numFmtId="0" fontId="27" fillId="0" borderId="24" xfId="50" applyFont="1" applyBorder="1" applyAlignment="1">
      <alignment horizontal="center" vertical="center"/>
    </xf>
    <xf numFmtId="0" fontId="27" fillId="0" borderId="59" xfId="50" applyFont="1" applyBorder="1" applyAlignment="1">
      <alignment horizontal="center" vertical="center"/>
    </xf>
    <xf numFmtId="0" fontId="27" fillId="0" borderId="24" xfId="50" applyFont="1" applyBorder="1" applyAlignment="1">
      <alignment horizontal="left" vertical="center" wrapText="1"/>
    </xf>
    <xf numFmtId="0" fontId="27" fillId="0" borderId="59" xfId="50" applyFont="1" applyBorder="1" applyAlignment="1">
      <alignment horizontal="left" vertical="center" wrapText="1"/>
    </xf>
    <xf numFmtId="0" fontId="27" fillId="0" borderId="31" xfId="50" applyFont="1" applyBorder="1" applyAlignment="1">
      <alignment horizontal="left" vertical="center" wrapText="1"/>
    </xf>
    <xf numFmtId="0" fontId="27" fillId="0" borderId="22" xfId="46" applyFont="1" applyBorder="1" applyAlignment="1">
      <alignment horizontal="center"/>
    </xf>
    <xf numFmtId="0" fontId="27" fillId="0" borderId="0" xfId="46" applyFont="1" applyAlignment="1">
      <alignment horizontal="center"/>
    </xf>
    <xf numFmtId="49" fontId="27" fillId="0" borderId="62" xfId="50" applyNumberFormat="1" applyFont="1" applyBorder="1" applyAlignment="1">
      <alignment horizontal="center" vertical="center"/>
    </xf>
    <xf numFmtId="49" fontId="27" fillId="0" borderId="10" xfId="50" applyNumberFormat="1" applyFont="1" applyBorder="1" applyAlignment="1">
      <alignment horizontal="center" vertical="center"/>
    </xf>
    <xf numFmtId="0" fontId="27" fillId="31" borderId="14" xfId="50" applyFont="1" applyFill="1" applyBorder="1" applyAlignment="1">
      <alignment horizontal="left" vertical="center" wrapText="1"/>
    </xf>
    <xf numFmtId="0" fontId="27" fillId="74" borderId="58" xfId="0" applyFont="1" applyFill="1" applyBorder="1" applyAlignment="1">
      <alignment horizontal="center" vertical="center"/>
    </xf>
    <xf numFmtId="0" fontId="27" fillId="74" borderId="116" xfId="0" applyFont="1" applyFill="1" applyBorder="1" applyAlignment="1">
      <alignment horizontal="center" vertical="center"/>
    </xf>
    <xf numFmtId="0" fontId="27" fillId="75" borderId="59" xfId="0" applyFont="1" applyFill="1" applyBorder="1" applyAlignment="1">
      <alignment horizontal="center" vertical="center"/>
    </xf>
    <xf numFmtId="0" fontId="27" fillId="75" borderId="31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59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76" borderId="38" xfId="0" applyFont="1" applyFill="1" applyBorder="1" applyAlignment="1">
      <alignment horizontal="center" vertical="center" wrapText="1"/>
    </xf>
    <xf numFmtId="0" fontId="27" fillId="76" borderId="39" xfId="0" applyFont="1" applyFill="1" applyBorder="1" applyAlignment="1">
      <alignment horizontal="center" vertical="center" wrapText="1"/>
    </xf>
    <xf numFmtId="0" fontId="27" fillId="76" borderId="117" xfId="0" applyFont="1" applyFill="1" applyBorder="1" applyAlignment="1">
      <alignment horizontal="center" vertical="center" wrapText="1"/>
    </xf>
    <xf numFmtId="0" fontId="27" fillId="0" borderId="22" xfId="50" applyFont="1" applyBorder="1" applyAlignment="1">
      <alignment horizontal="center" vertical="top" wrapText="1"/>
    </xf>
    <xf numFmtId="0" fontId="27" fillId="25" borderId="15" xfId="50" applyFont="1" applyFill="1" applyBorder="1" applyAlignment="1">
      <alignment horizontal="center" vertical="center"/>
    </xf>
    <xf numFmtId="0" fontId="27" fillId="24" borderId="45" xfId="50" applyFont="1" applyFill="1" applyBorder="1" applyAlignment="1">
      <alignment horizontal="center" vertical="center"/>
    </xf>
    <xf numFmtId="0" fontId="27" fillId="24" borderId="10" xfId="50" applyFont="1" applyFill="1" applyBorder="1" applyAlignment="1">
      <alignment horizontal="center" vertical="center"/>
    </xf>
    <xf numFmtId="49" fontId="27" fillId="0" borderId="45" xfId="50" applyNumberFormat="1" applyFont="1" applyBorder="1" applyAlignment="1">
      <alignment horizontal="center" vertical="center" wrapText="1"/>
    </xf>
    <xf numFmtId="49" fontId="27" fillId="0" borderId="10" xfId="50" applyNumberFormat="1" applyFont="1" applyBorder="1" applyAlignment="1">
      <alignment horizontal="center" vertical="center" wrapText="1"/>
    </xf>
    <xf numFmtId="0" fontId="27" fillId="24" borderId="38" xfId="50" applyFont="1" applyFill="1" applyBorder="1" applyAlignment="1">
      <alignment horizontal="right" vertical="center"/>
    </xf>
    <xf numFmtId="0" fontId="27" fillId="24" borderId="39" xfId="50" applyFont="1" applyFill="1" applyBorder="1" applyAlignment="1">
      <alignment horizontal="right" vertical="center"/>
    </xf>
    <xf numFmtId="0" fontId="27" fillId="24" borderId="40" xfId="50" applyFont="1" applyFill="1" applyBorder="1" applyAlignment="1">
      <alignment horizontal="right" vertical="center"/>
    </xf>
    <xf numFmtId="0" fontId="27" fillId="24" borderId="38" xfId="50" applyFont="1" applyFill="1" applyBorder="1" applyAlignment="1">
      <alignment horizontal="left" vertical="center"/>
    </xf>
    <xf numFmtId="0" fontId="27" fillId="24" borderId="39" xfId="50" applyFont="1" applyFill="1" applyBorder="1" applyAlignment="1">
      <alignment horizontal="left" vertical="center"/>
    </xf>
    <xf numFmtId="0" fontId="27" fillId="24" borderId="40" xfId="50" applyFont="1" applyFill="1" applyBorder="1" applyAlignment="1">
      <alignment horizontal="left" vertical="center"/>
    </xf>
    <xf numFmtId="0" fontId="27" fillId="24" borderId="59" xfId="50" applyFont="1" applyFill="1" applyBorder="1" applyAlignment="1">
      <alignment horizontal="center" vertical="center"/>
    </xf>
    <xf numFmtId="49" fontId="27" fillId="0" borderId="59" xfId="50" applyNumberFormat="1" applyFont="1" applyBorder="1" applyAlignment="1">
      <alignment horizontal="center" vertical="center"/>
    </xf>
    <xf numFmtId="0" fontId="27" fillId="0" borderId="55" xfId="50" applyFont="1" applyBorder="1" applyAlignment="1">
      <alignment horizontal="center" vertical="center"/>
    </xf>
    <xf numFmtId="0" fontId="51" fillId="0" borderId="55" xfId="50" applyFont="1" applyBorder="1" applyAlignment="1">
      <alignment horizontal="center" vertical="center"/>
    </xf>
    <xf numFmtId="0" fontId="27" fillId="0" borderId="52" xfId="50" applyFont="1" applyBorder="1" applyAlignment="1">
      <alignment horizontal="center" vertical="center" wrapText="1"/>
    </xf>
    <xf numFmtId="0" fontId="27" fillId="0" borderId="72" xfId="50" applyFont="1" applyBorder="1" applyAlignment="1">
      <alignment horizontal="center" vertical="center" wrapText="1"/>
    </xf>
    <xf numFmtId="0" fontId="27" fillId="0" borderId="37" xfId="50" applyFont="1" applyBorder="1" applyAlignment="1">
      <alignment horizontal="center" vertical="center" wrapText="1"/>
    </xf>
    <xf numFmtId="0" fontId="27" fillId="0" borderId="82" xfId="50" applyFont="1" applyBorder="1" applyAlignment="1">
      <alignment horizontal="center" vertical="top" wrapText="1"/>
    </xf>
    <xf numFmtId="0" fontId="27" fillId="25" borderId="49" xfId="50" applyFont="1" applyFill="1" applyBorder="1" applyAlignment="1">
      <alignment horizontal="center" vertical="center"/>
    </xf>
    <xf numFmtId="0" fontId="27" fillId="24" borderId="44" xfId="50" applyFont="1" applyFill="1" applyBorder="1" applyAlignment="1">
      <alignment horizontal="center" vertical="center"/>
    </xf>
    <xf numFmtId="0" fontId="27" fillId="24" borderId="62" xfId="50" applyFont="1" applyFill="1" applyBorder="1" applyAlignment="1">
      <alignment horizontal="center" vertical="center"/>
    </xf>
    <xf numFmtId="0" fontId="27" fillId="0" borderId="12" xfId="50" applyFont="1" applyBorder="1" applyAlignment="1">
      <alignment horizontal="center" vertical="center"/>
    </xf>
    <xf numFmtId="0" fontId="27" fillId="0" borderId="12" xfId="50" applyFont="1" applyBorder="1" applyAlignment="1">
      <alignment horizontal="left" vertical="center" wrapText="1"/>
    </xf>
    <xf numFmtId="49" fontId="27" fillId="0" borderId="12" xfId="50" applyNumberFormat="1" applyFont="1" applyBorder="1" applyAlignment="1">
      <alignment horizontal="center" vertical="center"/>
    </xf>
    <xf numFmtId="0" fontId="27" fillId="0" borderId="13" xfId="50" applyFont="1" applyBorder="1" applyAlignment="1">
      <alignment horizontal="center" vertical="center"/>
    </xf>
    <xf numFmtId="0" fontId="27" fillId="0" borderId="44" xfId="50" applyFont="1" applyBorder="1" applyAlignment="1">
      <alignment horizontal="center" vertical="center"/>
    </xf>
    <xf numFmtId="0" fontId="27" fillId="0" borderId="62" xfId="50" applyFont="1" applyBorder="1" applyAlignment="1">
      <alignment horizontal="center" vertical="center"/>
    </xf>
    <xf numFmtId="0" fontId="27" fillId="24" borderId="24" xfId="50" applyFont="1" applyFill="1" applyBorder="1" applyAlignment="1">
      <alignment horizontal="center" vertical="center"/>
    </xf>
    <xf numFmtId="49" fontId="27" fillId="0" borderId="24" xfId="50" applyNumberFormat="1" applyFont="1" applyBorder="1" applyAlignment="1">
      <alignment horizontal="center" vertical="center" wrapText="1"/>
    </xf>
    <xf numFmtId="49" fontId="27" fillId="0" borderId="59" xfId="50" applyNumberFormat="1" applyFont="1" applyBorder="1" applyAlignment="1">
      <alignment horizontal="center" vertical="center" wrapText="1"/>
    </xf>
    <xf numFmtId="0" fontId="27" fillId="0" borderId="0" xfId="50" applyFont="1" applyBorder="1" applyAlignment="1">
      <alignment horizontal="center"/>
    </xf>
    <xf numFmtId="0" fontId="27" fillId="0" borderId="0" xfId="50" applyFont="1" applyBorder="1" applyAlignment="1">
      <alignment horizontal="center" vertical="top" wrapText="1"/>
    </xf>
    <xf numFmtId="0" fontId="27" fillId="0" borderId="13" xfId="50" applyFont="1" applyBorder="1" applyAlignment="1">
      <alignment horizontal="center" vertical="center" wrapText="1"/>
    </xf>
    <xf numFmtId="0" fontId="27" fillId="0" borderId="55" xfId="50" applyFont="1" applyBorder="1" applyAlignment="1">
      <alignment horizontal="center" vertical="center" wrapText="1"/>
    </xf>
    <xf numFmtId="0" fontId="27" fillId="28" borderId="63" xfId="50" applyFont="1" applyFill="1" applyBorder="1" applyAlignment="1">
      <alignment horizontal="right" vertical="center" wrapText="1"/>
    </xf>
    <xf numFmtId="0" fontId="27" fillId="28" borderId="64" xfId="50" applyFont="1" applyFill="1" applyBorder="1" applyAlignment="1">
      <alignment horizontal="right" vertical="center" wrapText="1"/>
    </xf>
    <xf numFmtId="49" fontId="27" fillId="0" borderId="24" xfId="50" applyNumberFormat="1" applyFont="1" applyBorder="1" applyAlignment="1">
      <alignment horizontal="center" vertical="center"/>
    </xf>
    <xf numFmtId="49" fontId="27" fillId="0" borderId="31" xfId="50" applyNumberFormat="1" applyFont="1" applyBorder="1" applyAlignment="1">
      <alignment horizontal="center" vertical="center"/>
    </xf>
    <xf numFmtId="49" fontId="27" fillId="0" borderId="45" xfId="50" applyNumberFormat="1" applyFont="1" applyBorder="1" applyAlignment="1">
      <alignment horizontal="center" vertical="center"/>
    </xf>
    <xf numFmtId="0" fontId="27" fillId="0" borderId="0" xfId="50" applyFont="1" applyBorder="1" applyAlignment="1">
      <alignment horizontal="center" wrapText="1"/>
    </xf>
    <xf numFmtId="0" fontId="27" fillId="25" borderId="11" xfId="50" applyFont="1" applyFill="1" applyBorder="1" applyAlignment="1">
      <alignment horizontal="center" vertical="center"/>
    </xf>
    <xf numFmtId="0" fontId="27" fillId="0" borderId="59" xfId="50" applyFont="1" applyBorder="1" applyAlignment="1">
      <alignment horizontal="center" vertical="center" wrapText="1"/>
    </xf>
    <xf numFmtId="0" fontId="27" fillId="28" borderId="41" xfId="50" applyFont="1" applyFill="1" applyBorder="1" applyAlignment="1">
      <alignment horizontal="right" vertical="center" wrapText="1"/>
    </xf>
    <xf numFmtId="0" fontId="27" fillId="28" borderId="42" xfId="50" applyFont="1" applyFill="1" applyBorder="1" applyAlignment="1">
      <alignment horizontal="right" vertical="center" wrapText="1"/>
    </xf>
    <xf numFmtId="0" fontId="27" fillId="28" borderId="43" xfId="50" applyFont="1" applyFill="1" applyBorder="1" applyAlignment="1">
      <alignment horizontal="right" vertical="center" wrapText="1"/>
    </xf>
    <xf numFmtId="0" fontId="27" fillId="24" borderId="64" xfId="50" applyFont="1" applyFill="1" applyBorder="1" applyAlignment="1">
      <alignment horizontal="right" vertical="center"/>
    </xf>
    <xf numFmtId="0" fontId="27" fillId="24" borderId="51" xfId="50" applyFont="1" applyFill="1" applyBorder="1" applyAlignment="1">
      <alignment horizontal="right" vertical="center"/>
    </xf>
    <xf numFmtId="0" fontId="27" fillId="28" borderId="53" xfId="50" applyFont="1" applyFill="1" applyBorder="1" applyAlignment="1">
      <alignment horizontal="right" vertical="center" wrapText="1"/>
    </xf>
    <xf numFmtId="0" fontId="27" fillId="0" borderId="24" xfId="50" applyFont="1" applyFill="1" applyBorder="1" applyAlignment="1">
      <alignment horizontal="left" vertical="center" wrapText="1"/>
    </xf>
    <xf numFmtId="0" fontId="27" fillId="0" borderId="59" xfId="50" applyFont="1" applyFill="1" applyBorder="1" applyAlignment="1">
      <alignment horizontal="left" vertical="center" wrapText="1"/>
    </xf>
    <xf numFmtId="0" fontId="27" fillId="0" borderId="31" xfId="50" applyFont="1" applyFill="1" applyBorder="1" applyAlignment="1">
      <alignment horizontal="left" vertical="center" wrapText="1"/>
    </xf>
    <xf numFmtId="0" fontId="27" fillId="0" borderId="55" xfId="50" applyFont="1" applyFill="1" applyBorder="1" applyAlignment="1">
      <alignment horizontal="left" vertical="center" wrapText="1"/>
    </xf>
    <xf numFmtId="49" fontId="27" fillId="0" borderId="74" xfId="50" applyNumberFormat="1" applyFont="1" applyBorder="1" applyAlignment="1">
      <alignment horizontal="center" vertical="center"/>
    </xf>
    <xf numFmtId="49" fontId="27" fillId="0" borderId="44" xfId="50" applyNumberFormat="1" applyFont="1" applyBorder="1" applyAlignment="1">
      <alignment horizontal="center" vertical="center"/>
    </xf>
    <xf numFmtId="0" fontId="27" fillId="32" borderId="38" xfId="50" applyFont="1" applyFill="1" applyBorder="1" applyAlignment="1">
      <alignment horizontal="right" vertical="center" wrapText="1"/>
    </xf>
    <xf numFmtId="0" fontId="27" fillId="32" borderId="39" xfId="50" applyFont="1" applyFill="1" applyBorder="1" applyAlignment="1">
      <alignment horizontal="right" vertical="center" wrapText="1"/>
    </xf>
    <xf numFmtId="0" fontId="27" fillId="32" borderId="40" xfId="50" applyFont="1" applyFill="1" applyBorder="1" applyAlignment="1">
      <alignment horizontal="right" vertical="center" wrapText="1"/>
    </xf>
    <xf numFmtId="0" fontId="27" fillId="25" borderId="15" xfId="50" applyFont="1" applyFill="1" applyBorder="1" applyAlignment="1">
      <alignment horizontal="center" vertical="center" shrinkToFit="1"/>
    </xf>
    <xf numFmtId="0" fontId="27" fillId="25" borderId="58" xfId="50" applyFont="1" applyFill="1" applyBorder="1" applyAlignment="1">
      <alignment horizontal="center" vertical="center" shrinkToFit="1"/>
    </xf>
    <xf numFmtId="0" fontId="27" fillId="25" borderId="16" xfId="50" applyFont="1" applyFill="1" applyBorder="1" applyAlignment="1">
      <alignment horizontal="center" vertical="center" shrinkToFit="1"/>
    </xf>
    <xf numFmtId="0" fontId="27" fillId="24" borderId="24" xfId="50" applyFont="1" applyFill="1" applyBorder="1" applyAlignment="1">
      <alignment horizontal="center" vertical="center" shrinkToFit="1"/>
    </xf>
    <xf numFmtId="0" fontId="27" fillId="24" borderId="59" xfId="50" applyFont="1" applyFill="1" applyBorder="1" applyAlignment="1">
      <alignment horizontal="center" vertical="center" shrinkToFit="1"/>
    </xf>
    <xf numFmtId="0" fontId="27" fillId="24" borderId="31" xfId="50" applyFont="1" applyFill="1" applyBorder="1" applyAlignment="1">
      <alignment horizontal="center" vertical="center" shrinkToFit="1"/>
    </xf>
    <xf numFmtId="0" fontId="27" fillId="0" borderId="24" xfId="50" applyFont="1" applyBorder="1" applyAlignment="1">
      <alignment horizontal="center" vertical="center" shrinkToFit="1"/>
    </xf>
    <xf numFmtId="0" fontId="27" fillId="0" borderId="59" xfId="50" applyFont="1" applyBorder="1" applyAlignment="1">
      <alignment horizontal="center" vertical="center" shrinkToFit="1"/>
    </xf>
    <xf numFmtId="0" fontId="27" fillId="0" borderId="31" xfId="50" applyFont="1" applyBorder="1" applyAlignment="1">
      <alignment horizontal="center" vertical="center" shrinkToFit="1"/>
    </xf>
    <xf numFmtId="0" fontId="27" fillId="31" borderId="13" xfId="50" applyFont="1" applyFill="1" applyBorder="1" applyAlignment="1">
      <alignment horizontal="center" vertical="center" wrapText="1"/>
    </xf>
    <xf numFmtId="0" fontId="27" fillId="31" borderId="55" xfId="50" applyFont="1" applyFill="1" applyBorder="1" applyAlignment="1">
      <alignment horizontal="center" vertical="center" wrapText="1"/>
    </xf>
    <xf numFmtId="0" fontId="27" fillId="39" borderId="15" xfId="50" applyFont="1" applyFill="1" applyBorder="1" applyAlignment="1">
      <alignment horizontal="center" vertical="center" wrapText="1"/>
    </xf>
    <xf numFmtId="0" fontId="27" fillId="39" borderId="58" xfId="50" applyFont="1" applyFill="1" applyBorder="1" applyAlignment="1">
      <alignment horizontal="center" vertical="center" wrapText="1"/>
    </xf>
    <xf numFmtId="0" fontId="27" fillId="34" borderId="24" xfId="50" applyFont="1" applyFill="1" applyBorder="1" applyAlignment="1">
      <alignment horizontal="center" vertical="center" wrapText="1"/>
    </xf>
    <xf numFmtId="0" fontId="27" fillId="34" borderId="59" xfId="50" applyFont="1" applyFill="1" applyBorder="1" applyAlignment="1">
      <alignment horizontal="center" vertical="center" wrapText="1"/>
    </xf>
    <xf numFmtId="0" fontId="27" fillId="0" borderId="24" xfId="50" applyFont="1" applyBorder="1" applyAlignment="1">
      <alignment horizontal="center" vertical="center" wrapText="1"/>
    </xf>
    <xf numFmtId="0" fontId="27" fillId="39" borderId="15" xfId="50" applyFont="1" applyFill="1" applyBorder="1" applyAlignment="1">
      <alignment horizontal="center" vertical="center"/>
    </xf>
    <xf numFmtId="0" fontId="27" fillId="39" borderId="58" xfId="50" applyFont="1" applyFill="1" applyBorder="1" applyAlignment="1">
      <alignment horizontal="center" vertical="center"/>
    </xf>
    <xf numFmtId="0" fontId="27" fillId="39" borderId="16" xfId="50" applyFont="1" applyFill="1" applyBorder="1" applyAlignment="1">
      <alignment horizontal="center" vertical="center"/>
    </xf>
    <xf numFmtId="0" fontId="27" fillId="25" borderId="63" xfId="50" applyFont="1" applyFill="1" applyBorder="1" applyAlignment="1">
      <alignment horizontal="right" vertical="center"/>
    </xf>
    <xf numFmtId="0" fontId="27" fillId="25" borderId="39" xfId="50" applyFont="1" applyFill="1" applyBorder="1" applyAlignment="1">
      <alignment horizontal="right" vertical="center"/>
    </xf>
    <xf numFmtId="0" fontId="27" fillId="25" borderId="40" xfId="50" applyFont="1" applyFill="1" applyBorder="1" applyAlignment="1">
      <alignment horizontal="right" vertical="center"/>
    </xf>
    <xf numFmtId="0" fontId="27" fillId="29" borderId="38" xfId="50" applyFont="1" applyFill="1" applyBorder="1" applyAlignment="1">
      <alignment horizontal="right" vertical="center"/>
    </xf>
    <xf numFmtId="0" fontId="27" fillId="29" borderId="39" xfId="50" applyFont="1" applyFill="1" applyBorder="1" applyAlignment="1">
      <alignment horizontal="right" vertical="center"/>
    </xf>
    <xf numFmtId="0" fontId="27" fillId="29" borderId="40" xfId="50" applyFont="1" applyFill="1" applyBorder="1" applyAlignment="1">
      <alignment horizontal="right" vertical="center"/>
    </xf>
    <xf numFmtId="0" fontId="27" fillId="0" borderId="16" xfId="50" applyFont="1" applyBorder="1" applyAlignment="1">
      <alignment horizontal="left" vertical="center" wrapText="1"/>
    </xf>
    <xf numFmtId="0" fontId="27" fillId="0" borderId="10" xfId="50" applyFont="1" applyBorder="1" applyAlignment="1">
      <alignment horizontal="left" vertical="center" wrapText="1"/>
    </xf>
    <xf numFmtId="0" fontId="27" fillId="0" borderId="11" xfId="50" applyFont="1" applyBorder="1" applyAlignment="1">
      <alignment horizontal="left" vertical="center" wrapText="1"/>
    </xf>
    <xf numFmtId="0" fontId="27" fillId="0" borderId="17" xfId="50" applyFont="1" applyBorder="1" applyAlignment="1">
      <alignment horizontal="left" vertical="center" wrapText="1"/>
    </xf>
    <xf numFmtId="0" fontId="27" fillId="39" borderId="16" xfId="50" applyFont="1" applyFill="1" applyBorder="1" applyAlignment="1">
      <alignment horizontal="center" vertical="center" wrapText="1"/>
    </xf>
    <xf numFmtId="0" fontId="27" fillId="34" borderId="31" xfId="50" applyFont="1" applyFill="1" applyBorder="1" applyAlignment="1">
      <alignment horizontal="center" vertical="center" wrapText="1"/>
    </xf>
    <xf numFmtId="0" fontId="27" fillId="0" borderId="31" xfId="50" applyFont="1" applyBorder="1" applyAlignment="1">
      <alignment horizontal="center" vertical="center" wrapText="1"/>
    </xf>
    <xf numFmtId="1" fontId="25" fillId="0" borderId="0" xfId="50" applyNumberFormat="1" applyFont="1" applyAlignment="1">
      <alignment horizontal="left" vertical="center"/>
    </xf>
    <xf numFmtId="0" fontId="25" fillId="0" borderId="0" xfId="50" applyFont="1" applyAlignment="1">
      <alignment horizontal="center"/>
    </xf>
    <xf numFmtId="0" fontId="27" fillId="0" borderId="15" xfId="50" applyFont="1" applyBorder="1" applyAlignment="1">
      <alignment horizontal="left" vertical="center" wrapText="1"/>
    </xf>
    <xf numFmtId="0" fontId="27" fillId="0" borderId="45" xfId="50" applyFont="1" applyBorder="1" applyAlignment="1">
      <alignment horizontal="left" vertical="center" wrapText="1"/>
    </xf>
    <xf numFmtId="0" fontId="26" fillId="0" borderId="41" xfId="50" applyFont="1" applyBorder="1" applyAlignment="1">
      <alignment horizontal="right" vertical="center"/>
    </xf>
    <xf numFmtId="0" fontId="26" fillId="0" borderId="42" xfId="50" applyFont="1" applyBorder="1" applyAlignment="1">
      <alignment horizontal="right" vertical="center"/>
    </xf>
    <xf numFmtId="0" fontId="26" fillId="0" borderId="56" xfId="50" applyFont="1" applyBorder="1" applyAlignment="1">
      <alignment horizontal="right" vertical="center"/>
    </xf>
    <xf numFmtId="0" fontId="27" fillId="0" borderId="63" xfId="46" applyFont="1" applyBorder="1" applyAlignment="1" applyProtection="1">
      <alignment horizontal="left" vertical="center" wrapText="1"/>
      <protection locked="0"/>
    </xf>
    <xf numFmtId="0" fontId="27" fillId="0" borderId="64" xfId="46" applyFont="1" applyBorder="1" applyAlignment="1" applyProtection="1">
      <alignment horizontal="left" vertical="center" wrapText="1"/>
      <protection locked="0"/>
    </xf>
    <xf numFmtId="0" fontId="27" fillId="0" borderId="51" xfId="46" applyFont="1" applyBorder="1" applyAlignment="1" applyProtection="1">
      <alignment horizontal="left" vertical="center" wrapText="1"/>
      <protection locked="0"/>
    </xf>
    <xf numFmtId="0" fontId="26" fillId="0" borderId="38" xfId="46" applyFont="1" applyBorder="1" applyAlignment="1" applyProtection="1">
      <alignment horizontal="right" vertical="center" wrapText="1"/>
      <protection locked="0"/>
    </xf>
    <xf numFmtId="0" fontId="26" fillId="0" borderId="39" xfId="46" applyFont="1" applyBorder="1" applyAlignment="1" applyProtection="1">
      <alignment horizontal="right" vertical="center" wrapText="1"/>
      <protection locked="0"/>
    </xf>
    <xf numFmtId="0" fontId="26" fillId="0" borderId="40" xfId="46" applyFont="1" applyBorder="1" applyAlignment="1" applyProtection="1">
      <alignment horizontal="right" vertical="center" wrapText="1"/>
      <protection locked="0"/>
    </xf>
    <xf numFmtId="0" fontId="27" fillId="0" borderId="13" xfId="46" applyFont="1" applyBorder="1" applyAlignment="1" applyProtection="1">
      <alignment horizontal="center" vertical="center" wrapText="1"/>
      <protection locked="0"/>
    </xf>
    <xf numFmtId="0" fontId="27" fillId="0" borderId="55" xfId="46" applyFont="1" applyBorder="1" applyAlignment="1" applyProtection="1">
      <alignment horizontal="center" vertical="center" wrapText="1"/>
      <protection locked="0"/>
    </xf>
    <xf numFmtId="0" fontId="27" fillId="0" borderId="59" xfId="46" applyFont="1" applyBorder="1" applyAlignment="1" applyProtection="1">
      <alignment horizontal="center" vertical="center" wrapText="1"/>
      <protection locked="0"/>
    </xf>
    <xf numFmtId="0" fontId="27" fillId="0" borderId="83" xfId="46" applyFont="1" applyBorder="1" applyAlignment="1" applyProtection="1">
      <alignment horizontal="left" vertical="center" wrapText="1"/>
      <protection locked="0"/>
    </xf>
    <xf numFmtId="0" fontId="27" fillId="0" borderId="85" xfId="46" applyFont="1" applyBorder="1" applyAlignment="1" applyProtection="1">
      <alignment horizontal="left" vertical="center" wrapText="1"/>
      <protection locked="0"/>
    </xf>
    <xf numFmtId="0" fontId="27" fillId="0" borderId="11" xfId="46" applyFont="1" applyBorder="1" applyAlignment="1" applyProtection="1">
      <alignment horizontal="left" vertical="center" wrapText="1"/>
      <protection locked="0"/>
    </xf>
    <xf numFmtId="0" fontId="27" fillId="0" borderId="14" xfId="46" applyFont="1" applyBorder="1" applyAlignment="1" applyProtection="1">
      <alignment horizontal="left" vertical="center" wrapText="1"/>
      <protection locked="0"/>
    </xf>
    <xf numFmtId="0" fontId="27" fillId="0" borderId="17" xfId="46" applyFont="1" applyBorder="1" applyAlignment="1" applyProtection="1">
      <alignment horizontal="left" vertical="center" wrapText="1"/>
      <protection locked="0"/>
    </xf>
    <xf numFmtId="0" fontId="27" fillId="0" borderId="18" xfId="46" applyFont="1" applyBorder="1" applyAlignment="1" applyProtection="1">
      <alignment horizontal="left" vertical="center" wrapText="1"/>
      <protection locked="0"/>
    </xf>
    <xf numFmtId="0" fontId="27" fillId="0" borderId="36" xfId="46" applyFont="1" applyBorder="1" applyAlignment="1" applyProtection="1">
      <alignment horizontal="left" vertical="center" wrapText="1"/>
      <protection locked="0"/>
    </xf>
    <xf numFmtId="0" fontId="27" fillId="0" borderId="47" xfId="46" applyFont="1" applyBorder="1" applyAlignment="1" applyProtection="1">
      <alignment horizontal="left" vertical="center" wrapText="1"/>
      <protection locked="0"/>
    </xf>
    <xf numFmtId="0" fontId="26" fillId="27" borderId="53" xfId="46" applyFont="1" applyFill="1" applyBorder="1" applyAlignment="1" applyProtection="1">
      <alignment horizontal="right" vertical="center" wrapText="1"/>
      <protection locked="0"/>
    </xf>
    <xf numFmtId="0" fontId="26" fillId="27" borderId="60" xfId="46" applyFont="1" applyFill="1" applyBorder="1" applyAlignment="1" applyProtection="1">
      <alignment horizontal="right" vertical="center" wrapText="1"/>
      <protection locked="0"/>
    </xf>
    <xf numFmtId="0" fontId="26" fillId="27" borderId="61" xfId="46" applyFont="1" applyFill="1" applyBorder="1" applyAlignment="1" applyProtection="1">
      <alignment horizontal="right" vertical="center" wrapText="1"/>
      <protection locked="0"/>
    </xf>
    <xf numFmtId="0" fontId="27" fillId="31" borderId="60" xfId="46" applyFont="1" applyFill="1" applyBorder="1" applyAlignment="1">
      <alignment horizontal="center" vertical="center" wrapText="1"/>
    </xf>
    <xf numFmtId="0" fontId="27" fillId="31" borderId="0" xfId="46" applyFont="1" applyFill="1" applyBorder="1" applyAlignment="1">
      <alignment horizontal="center" vertical="center" wrapText="1"/>
    </xf>
    <xf numFmtId="0" fontId="27" fillId="34" borderId="24" xfId="46" applyFont="1" applyFill="1" applyBorder="1" applyAlignment="1">
      <alignment horizontal="center" vertical="center" wrapText="1"/>
    </xf>
    <xf numFmtId="1" fontId="27" fillId="31" borderId="45" xfId="46" applyNumberFormat="1" applyFont="1" applyFill="1" applyBorder="1" applyAlignment="1">
      <alignment horizontal="center" vertical="center" wrapText="1"/>
    </xf>
    <xf numFmtId="1" fontId="27" fillId="31" borderId="62" xfId="46" applyNumberFormat="1" applyFont="1" applyFill="1" applyBorder="1" applyAlignment="1">
      <alignment horizontal="center" vertical="center" wrapText="1"/>
    </xf>
    <xf numFmtId="1" fontId="27" fillId="31" borderId="10" xfId="46" applyNumberFormat="1" applyFont="1" applyFill="1" applyBorder="1" applyAlignment="1">
      <alignment horizontal="center" vertical="center" wrapText="1"/>
    </xf>
    <xf numFmtId="0" fontId="27" fillId="0" borderId="44" xfId="46" applyFont="1" applyBorder="1" applyAlignment="1">
      <alignment horizontal="center" vertical="center" wrapText="1"/>
    </xf>
    <xf numFmtId="0" fontId="27" fillId="31" borderId="24" xfId="46" applyFont="1" applyFill="1" applyBorder="1" applyAlignment="1">
      <alignment horizontal="left" vertical="center" wrapText="1"/>
    </xf>
    <xf numFmtId="0" fontId="27" fillId="31" borderId="64" xfId="46" applyFont="1" applyFill="1" applyBorder="1" applyAlignment="1">
      <alignment horizontal="center" vertical="center" wrapText="1"/>
    </xf>
    <xf numFmtId="0" fontId="27" fillId="33" borderId="38" xfId="46" applyFont="1" applyFill="1" applyBorder="1" applyAlignment="1">
      <alignment horizontal="right" vertical="center" wrapText="1"/>
    </xf>
    <xf numFmtId="0" fontId="27" fillId="33" borderId="39" xfId="46" applyFont="1" applyFill="1" applyBorder="1" applyAlignment="1">
      <alignment horizontal="right" vertical="center" wrapText="1"/>
    </xf>
    <xf numFmtId="0" fontId="27" fillId="33" borderId="40" xfId="46" applyFont="1" applyFill="1" applyBorder="1" applyAlignment="1">
      <alignment horizontal="right" vertical="center" wrapText="1"/>
    </xf>
    <xf numFmtId="0" fontId="27" fillId="33" borderId="38" xfId="46" applyFont="1" applyFill="1" applyBorder="1" applyAlignment="1">
      <alignment horizontal="left" vertical="center" wrapText="1"/>
    </xf>
    <xf numFmtId="0" fontId="27" fillId="33" borderId="39" xfId="46" applyFont="1" applyFill="1" applyBorder="1" applyAlignment="1">
      <alignment horizontal="left" vertical="center" wrapText="1"/>
    </xf>
    <xf numFmtId="0" fontId="27" fillId="33" borderId="40" xfId="46" applyFont="1" applyFill="1" applyBorder="1" applyAlignment="1">
      <alignment horizontal="left" vertical="center" wrapText="1"/>
    </xf>
    <xf numFmtId="0" fontId="27" fillId="31" borderId="59" xfId="46" applyFont="1" applyFill="1" applyBorder="1" applyAlignment="1">
      <alignment horizontal="left" vertical="center" wrapText="1"/>
    </xf>
    <xf numFmtId="0" fontId="27" fillId="0" borderId="55" xfId="46" applyFont="1" applyBorder="1" applyAlignment="1">
      <alignment horizontal="center" vertical="center"/>
    </xf>
    <xf numFmtId="0" fontId="27" fillId="24" borderId="38" xfId="46" applyFont="1" applyFill="1" applyBorder="1" applyAlignment="1" applyProtection="1">
      <alignment horizontal="right" vertical="center" wrapText="1"/>
      <protection locked="0"/>
    </xf>
    <xf numFmtId="0" fontId="27" fillId="24" borderId="39" xfId="46" applyFont="1" applyFill="1" applyBorder="1" applyAlignment="1" applyProtection="1">
      <alignment horizontal="right" vertical="center" wrapText="1"/>
      <protection locked="0"/>
    </xf>
    <xf numFmtId="0" fontId="27" fillId="24" borderId="40" xfId="46" applyFont="1" applyFill="1" applyBorder="1" applyAlignment="1" applyProtection="1">
      <alignment horizontal="right" vertical="center" wrapText="1"/>
      <protection locked="0"/>
    </xf>
    <xf numFmtId="49" fontId="27" fillId="31" borderId="13" xfId="46" applyNumberFormat="1" applyFont="1" applyFill="1" applyBorder="1" applyAlignment="1">
      <alignment horizontal="center" vertical="center" wrapText="1"/>
    </xf>
    <xf numFmtId="0" fontId="27" fillId="25" borderId="11" xfId="46" applyFont="1" applyFill="1" applyBorder="1" applyAlignment="1" applyProtection="1">
      <alignment horizontal="center" vertical="center" wrapText="1"/>
      <protection locked="0"/>
    </xf>
    <xf numFmtId="0" fontId="27" fillId="24" borderId="14" xfId="46" applyFont="1" applyFill="1" applyBorder="1" applyAlignment="1" applyProtection="1">
      <alignment horizontal="center" vertical="center" wrapText="1"/>
      <protection locked="0"/>
    </xf>
    <xf numFmtId="0" fontId="27" fillId="0" borderId="14" xfId="46" applyFont="1" applyBorder="1" applyAlignment="1" applyProtection="1">
      <alignment horizontal="center" vertical="center" wrapText="1"/>
      <protection locked="0"/>
    </xf>
    <xf numFmtId="0" fontId="27" fillId="0" borderId="24" xfId="46" applyFont="1" applyBorder="1" applyAlignment="1" applyProtection="1">
      <alignment horizontal="center" vertical="center" wrapText="1"/>
      <protection locked="0"/>
    </xf>
    <xf numFmtId="0" fontId="27" fillId="0" borderId="24" xfId="46" applyFont="1" applyBorder="1" applyAlignment="1" applyProtection="1">
      <alignment horizontal="left" vertical="center" wrapText="1"/>
      <protection locked="0"/>
    </xf>
    <xf numFmtId="1" fontId="27" fillId="0" borderId="14" xfId="46" quotePrefix="1" applyNumberFormat="1" applyFont="1" applyBorder="1" applyAlignment="1" applyProtection="1">
      <alignment horizontal="center" vertical="center" wrapText="1"/>
      <protection locked="0"/>
    </xf>
    <xf numFmtId="1" fontId="27" fillId="0" borderId="45" xfId="46" quotePrefix="1" applyNumberFormat="1" applyFont="1" applyBorder="1" applyAlignment="1" applyProtection="1">
      <alignment horizontal="center" vertical="center" wrapText="1"/>
      <protection locked="0"/>
    </xf>
    <xf numFmtId="0" fontId="27" fillId="28" borderId="53" xfId="46" applyFont="1" applyFill="1" applyBorder="1" applyAlignment="1" applyProtection="1">
      <alignment horizontal="right" vertical="center" wrapText="1"/>
      <protection locked="0"/>
    </xf>
    <xf numFmtId="0" fontId="27" fillId="28" borderId="60" xfId="46" applyFont="1" applyFill="1" applyBorder="1" applyAlignment="1" applyProtection="1">
      <alignment horizontal="right" vertical="center" wrapText="1"/>
      <protection locked="0"/>
    </xf>
    <xf numFmtId="0" fontId="27" fillId="28" borderId="61" xfId="46" applyFont="1" applyFill="1" applyBorder="1" applyAlignment="1" applyProtection="1">
      <alignment horizontal="right" vertical="center" wrapText="1"/>
      <protection locked="0"/>
    </xf>
    <xf numFmtId="0" fontId="27" fillId="26" borderId="13" xfId="46" applyFont="1" applyFill="1" applyBorder="1" applyAlignment="1" applyProtection="1">
      <alignment horizontal="center" vertical="center" wrapText="1"/>
      <protection locked="0"/>
    </xf>
    <xf numFmtId="0" fontId="27" fillId="26" borderId="55" xfId="46" applyFont="1" applyFill="1" applyBorder="1" applyAlignment="1" applyProtection="1">
      <alignment horizontal="center" vertical="center" wrapText="1"/>
      <protection locked="0"/>
    </xf>
    <xf numFmtId="0" fontId="27" fillId="28" borderId="38" xfId="46" applyFont="1" applyFill="1" applyBorder="1" applyAlignment="1" applyProtection="1">
      <alignment horizontal="right" vertical="center" wrapText="1"/>
      <protection locked="0"/>
    </xf>
    <xf numFmtId="0" fontId="27" fillId="28" borderId="39" xfId="46" applyFont="1" applyFill="1" applyBorder="1" applyAlignment="1" applyProtection="1">
      <alignment horizontal="right" vertical="center" wrapText="1"/>
      <protection locked="0"/>
    </xf>
    <xf numFmtId="0" fontId="27" fillId="28" borderId="40" xfId="46" applyFont="1" applyFill="1" applyBorder="1" applyAlignment="1" applyProtection="1">
      <alignment horizontal="right" vertical="center" wrapText="1"/>
      <protection locked="0"/>
    </xf>
    <xf numFmtId="0" fontId="27" fillId="24" borderId="53" xfId="46" applyFont="1" applyFill="1" applyBorder="1" applyAlignment="1" applyProtection="1">
      <alignment horizontal="right" vertical="center" wrapText="1"/>
      <protection locked="0"/>
    </xf>
    <xf numFmtId="0" fontId="27" fillId="24" borderId="60" xfId="46" applyFont="1" applyFill="1" applyBorder="1" applyAlignment="1" applyProtection="1">
      <alignment horizontal="right" vertical="center" wrapText="1"/>
      <protection locked="0"/>
    </xf>
    <xf numFmtId="0" fontId="27" fillId="24" borderId="61" xfId="46" applyFont="1" applyFill="1" applyBorder="1" applyAlignment="1" applyProtection="1">
      <alignment horizontal="right" vertical="center" wrapText="1"/>
      <protection locked="0"/>
    </xf>
    <xf numFmtId="0" fontId="27" fillId="25" borderId="53" xfId="46" applyFont="1" applyFill="1" applyBorder="1" applyAlignment="1" applyProtection="1">
      <alignment horizontal="right" vertical="center" wrapText="1"/>
      <protection locked="0"/>
    </xf>
    <xf numFmtId="0" fontId="27" fillId="25" borderId="60" xfId="46" applyFont="1" applyFill="1" applyBorder="1" applyAlignment="1" applyProtection="1">
      <alignment horizontal="right" vertical="center" wrapText="1"/>
      <protection locked="0"/>
    </xf>
    <xf numFmtId="0" fontId="27" fillId="25" borderId="61" xfId="46" applyFont="1" applyFill="1" applyBorder="1" applyAlignment="1" applyProtection="1">
      <alignment horizontal="right" vertical="center" wrapText="1"/>
      <protection locked="0"/>
    </xf>
    <xf numFmtId="0" fontId="27" fillId="25" borderId="38" xfId="46" applyFont="1" applyFill="1" applyBorder="1" applyAlignment="1" applyProtection="1">
      <alignment horizontal="left" vertical="center" wrapText="1"/>
      <protection locked="0"/>
    </xf>
    <xf numFmtId="0" fontId="27" fillId="25" borderId="39" xfId="46" applyFont="1" applyFill="1" applyBorder="1" applyAlignment="1" applyProtection="1">
      <alignment horizontal="left" vertical="center" wrapText="1"/>
      <protection locked="0"/>
    </xf>
    <xf numFmtId="0" fontId="27" fillId="25" borderId="40" xfId="46" applyFont="1" applyFill="1" applyBorder="1" applyAlignment="1" applyProtection="1">
      <alignment horizontal="left" vertical="center" wrapText="1"/>
      <protection locked="0"/>
    </xf>
    <xf numFmtId="0" fontId="27" fillId="24" borderId="38" xfId="46" applyFont="1" applyFill="1" applyBorder="1" applyAlignment="1" applyProtection="1">
      <alignment horizontal="left" vertical="center" wrapText="1"/>
      <protection locked="0"/>
    </xf>
    <xf numFmtId="0" fontId="27" fillId="24" borderId="39" xfId="46" applyFont="1" applyFill="1" applyBorder="1" applyAlignment="1" applyProtection="1">
      <alignment horizontal="left" vertical="center" wrapText="1"/>
      <protection locked="0"/>
    </xf>
    <xf numFmtId="0" fontId="27" fillId="24" borderId="40" xfId="46" applyFont="1" applyFill="1" applyBorder="1" applyAlignment="1" applyProtection="1">
      <alignment horizontal="left" vertical="center" wrapText="1"/>
      <protection locked="0"/>
    </xf>
    <xf numFmtId="0" fontId="27" fillId="25" borderId="58" xfId="46" applyFont="1" applyFill="1" applyBorder="1" applyAlignment="1" applyProtection="1">
      <alignment horizontal="center" vertical="center" wrapText="1"/>
      <protection locked="0"/>
    </xf>
    <xf numFmtId="0" fontId="27" fillId="24" borderId="59" xfId="46" applyFont="1" applyFill="1" applyBorder="1" applyAlignment="1" applyProtection="1">
      <alignment horizontal="center" vertical="center" wrapText="1"/>
      <protection locked="0"/>
    </xf>
    <xf numFmtId="0" fontId="27" fillId="0" borderId="59" xfId="46" applyFont="1" applyBorder="1" applyAlignment="1" applyProtection="1">
      <alignment horizontal="left" vertical="center" wrapText="1"/>
      <protection locked="0"/>
    </xf>
    <xf numFmtId="49" fontId="27" fillId="0" borderId="62" xfId="46" applyNumberFormat="1" applyFont="1" applyBorder="1" applyAlignment="1" applyProtection="1">
      <alignment horizontal="center" vertical="center" wrapText="1"/>
      <protection locked="0"/>
    </xf>
    <xf numFmtId="0" fontId="27" fillId="25" borderId="15" xfId="46" applyFont="1" applyFill="1" applyBorder="1" applyAlignment="1" applyProtection="1">
      <alignment horizontal="center" vertical="center" wrapText="1"/>
      <protection locked="0"/>
    </xf>
    <xf numFmtId="0" fontId="27" fillId="25" borderId="16" xfId="46" applyFont="1" applyFill="1" applyBorder="1" applyAlignment="1" applyProtection="1">
      <alignment horizontal="center" vertical="center" wrapText="1"/>
      <protection locked="0"/>
    </xf>
    <xf numFmtId="0" fontId="27" fillId="24" borderId="24" xfId="46" applyFont="1" applyFill="1" applyBorder="1" applyAlignment="1" applyProtection="1">
      <alignment horizontal="center" vertical="center" wrapText="1"/>
      <protection locked="0"/>
    </xf>
    <xf numFmtId="0" fontId="27" fillId="24" borderId="31" xfId="46" applyFont="1" applyFill="1" applyBorder="1" applyAlignment="1" applyProtection="1">
      <alignment horizontal="center" vertical="center" wrapText="1"/>
      <protection locked="0"/>
    </xf>
    <xf numFmtId="0" fontId="27" fillId="0" borderId="31" xfId="46" applyFont="1" applyBorder="1" applyAlignment="1" applyProtection="1">
      <alignment horizontal="center" vertical="center" wrapText="1"/>
      <protection locked="0"/>
    </xf>
    <xf numFmtId="0" fontId="27" fillId="0" borderId="72" xfId="46" applyFont="1" applyBorder="1" applyAlignment="1" applyProtection="1">
      <alignment horizontal="center" vertical="center" wrapText="1"/>
      <protection locked="0"/>
    </xf>
    <xf numFmtId="0" fontId="27" fillId="0" borderId="37" xfId="46" applyFont="1" applyBorder="1" applyAlignment="1" applyProtection="1">
      <alignment horizontal="center" vertical="center" wrapText="1"/>
      <protection locked="0"/>
    </xf>
    <xf numFmtId="0" fontId="27" fillId="28" borderId="54" xfId="46" applyFont="1" applyFill="1" applyBorder="1" applyAlignment="1" applyProtection="1">
      <alignment horizontal="right" vertical="center" wrapText="1"/>
      <protection locked="0"/>
    </xf>
    <xf numFmtId="0" fontId="27" fillId="28" borderId="42" xfId="46" applyFont="1" applyFill="1" applyBorder="1" applyAlignment="1" applyProtection="1">
      <alignment horizontal="right" vertical="center" wrapText="1"/>
      <protection locked="0"/>
    </xf>
    <xf numFmtId="0" fontId="27" fillId="28" borderId="43" xfId="46" applyFont="1" applyFill="1" applyBorder="1" applyAlignment="1" applyProtection="1">
      <alignment horizontal="right" vertical="center" wrapText="1"/>
      <protection locked="0"/>
    </xf>
    <xf numFmtId="0" fontId="27" fillId="0" borderId="24" xfId="46" applyFont="1" applyFill="1" applyBorder="1" applyAlignment="1" applyProtection="1">
      <alignment horizontal="left" vertical="center" wrapText="1"/>
      <protection locked="0"/>
    </xf>
    <xf numFmtId="0" fontId="27" fillId="0" borderId="59" xfId="46" applyFont="1" applyFill="1" applyBorder="1" applyAlignment="1" applyProtection="1">
      <alignment horizontal="left" vertical="center" wrapText="1"/>
      <protection locked="0"/>
    </xf>
    <xf numFmtId="49" fontId="27" fillId="0" borderId="45" xfId="46" applyNumberFormat="1" applyFont="1" applyBorder="1" applyAlignment="1" applyProtection="1">
      <alignment horizontal="center" vertical="center" wrapText="1"/>
      <protection locked="0"/>
    </xf>
    <xf numFmtId="0" fontId="27" fillId="24" borderId="63" xfId="46" applyFont="1" applyFill="1" applyBorder="1" applyAlignment="1" applyProtection="1">
      <alignment horizontal="right" vertical="center" wrapText="1"/>
      <protection locked="0"/>
    </xf>
    <xf numFmtId="0" fontId="27" fillId="24" borderId="64" xfId="46" applyFont="1" applyFill="1" applyBorder="1" applyAlignment="1" applyProtection="1">
      <alignment horizontal="right" vertical="center" wrapText="1"/>
      <protection locked="0"/>
    </xf>
    <xf numFmtId="0" fontId="27" fillId="24" borderId="51" xfId="46" applyFont="1" applyFill="1" applyBorder="1" applyAlignment="1" applyProtection="1">
      <alignment horizontal="right" vertical="center" wrapText="1"/>
      <protection locked="0"/>
    </xf>
    <xf numFmtId="0" fontId="27" fillId="0" borderId="13" xfId="46" applyFont="1" applyFill="1" applyBorder="1" applyAlignment="1" applyProtection="1">
      <alignment horizontal="left" vertical="center" wrapText="1"/>
      <protection locked="0"/>
    </xf>
    <xf numFmtId="0" fontId="27" fillId="0" borderId="44" xfId="46" applyFont="1" applyBorder="1" applyAlignment="1" applyProtection="1">
      <alignment horizontal="center" vertical="center" wrapText="1"/>
      <protection locked="0"/>
    </xf>
    <xf numFmtId="0" fontId="27" fillId="0" borderId="62" xfId="46" applyFont="1" applyBorder="1" applyAlignment="1" applyProtection="1">
      <alignment horizontal="center" vertical="center" wrapText="1"/>
      <protection locked="0"/>
    </xf>
    <xf numFmtId="0" fontId="27" fillId="31" borderId="55" xfId="46" applyFont="1" applyFill="1" applyBorder="1" applyAlignment="1">
      <alignment horizontal="left" vertical="center" wrapText="1"/>
    </xf>
    <xf numFmtId="0" fontId="27" fillId="0" borderId="78" xfId="46" applyFont="1" applyBorder="1" applyAlignment="1" applyProtection="1">
      <alignment horizontal="center" vertical="center" wrapText="1"/>
      <protection locked="0"/>
    </xf>
    <xf numFmtId="0" fontId="27" fillId="28" borderId="41" xfId="46" applyFont="1" applyFill="1" applyBorder="1" applyAlignment="1" applyProtection="1">
      <alignment horizontal="right" vertical="center" wrapText="1"/>
      <protection locked="0"/>
    </xf>
    <xf numFmtId="0" fontId="27" fillId="0" borderId="17" xfId="46" applyFont="1" applyBorder="1" applyAlignment="1" applyProtection="1">
      <alignment horizontal="center" vertical="center" wrapText="1"/>
      <protection locked="0"/>
    </xf>
    <xf numFmtId="0" fontId="27" fillId="0" borderId="31" xfId="46" applyFont="1" applyBorder="1" applyAlignment="1" applyProtection="1">
      <alignment horizontal="left" vertical="center" wrapText="1"/>
      <protection locked="0"/>
    </xf>
    <xf numFmtId="0" fontId="27" fillId="25" borderId="49" xfId="46" applyFont="1" applyFill="1" applyBorder="1" applyAlignment="1" applyProtection="1">
      <alignment horizontal="center" vertical="center" wrapText="1"/>
      <protection locked="0"/>
    </xf>
    <xf numFmtId="0" fontId="27" fillId="24" borderId="13" xfId="46" applyFont="1" applyFill="1" applyBorder="1" applyAlignment="1" applyProtection="1">
      <alignment horizontal="center" vertical="center" wrapText="1"/>
      <protection locked="0"/>
    </xf>
    <xf numFmtId="0" fontId="27" fillId="0" borderId="12" xfId="46" applyFont="1" applyBorder="1" applyAlignment="1" applyProtection="1">
      <alignment horizontal="left" vertical="center" wrapText="1"/>
      <protection locked="0"/>
    </xf>
    <xf numFmtId="0" fontId="27" fillId="0" borderId="35" xfId="46" applyFont="1" applyBorder="1" applyAlignment="1" applyProtection="1">
      <alignment horizontal="center" vertical="center" wrapText="1"/>
      <protection locked="0"/>
    </xf>
    <xf numFmtId="0" fontId="27" fillId="0" borderId="28" xfId="46" applyFont="1" applyBorder="1" applyAlignment="1" applyProtection="1">
      <alignment horizontal="center" vertical="center" wrapText="1"/>
      <protection locked="0"/>
    </xf>
    <xf numFmtId="0" fontId="27" fillId="0" borderId="45" xfId="46" applyFont="1" applyBorder="1" applyAlignment="1" applyProtection="1">
      <alignment horizontal="center" vertical="center" wrapText="1"/>
      <protection locked="0"/>
    </xf>
    <xf numFmtId="0" fontId="27" fillId="28" borderId="49" xfId="46" applyFont="1" applyFill="1" applyBorder="1" applyAlignment="1" applyProtection="1">
      <alignment horizontal="right" vertical="center" wrapText="1"/>
      <protection locked="0"/>
    </xf>
    <xf numFmtId="0" fontId="27" fillId="28" borderId="13" xfId="46" applyFont="1" applyFill="1" applyBorder="1" applyAlignment="1" applyProtection="1">
      <alignment horizontal="right" vertical="center" wrapText="1"/>
      <protection locked="0"/>
    </xf>
    <xf numFmtId="0" fontId="27" fillId="28" borderId="50" xfId="46" applyFont="1" applyFill="1" applyBorder="1" applyAlignment="1" applyProtection="1">
      <alignment horizontal="right" vertical="center" wrapText="1"/>
      <protection locked="0"/>
    </xf>
    <xf numFmtId="0" fontId="27" fillId="0" borderId="24" xfId="46" applyFont="1" applyBorder="1" applyAlignment="1">
      <alignment horizontal="left" wrapText="1"/>
    </xf>
    <xf numFmtId="0" fontId="27" fillId="0" borderId="31" xfId="46" applyFont="1" applyBorder="1" applyAlignment="1">
      <alignment horizontal="left" wrapText="1"/>
    </xf>
    <xf numFmtId="0" fontId="27" fillId="0" borderId="10" xfId="46" applyFont="1" applyBorder="1" applyAlignment="1" applyProtection="1">
      <alignment horizontal="center" vertical="center" wrapText="1"/>
      <protection locked="0"/>
    </xf>
    <xf numFmtId="0" fontId="27" fillId="0" borderId="50" xfId="46" applyFont="1" applyBorder="1" applyAlignment="1" applyProtection="1">
      <alignment horizontal="center" vertical="center" wrapText="1"/>
      <protection locked="0"/>
    </xf>
    <xf numFmtId="0" fontId="27" fillId="0" borderId="23" xfId="46" applyFont="1" applyBorder="1" applyAlignment="1" applyProtection="1">
      <alignment horizontal="center" vertical="center" wrapText="1"/>
      <protection locked="0"/>
    </xf>
    <xf numFmtId="0" fontId="27" fillId="0" borderId="71" xfId="46" applyFont="1" applyBorder="1" applyAlignment="1" applyProtection="1">
      <alignment horizontal="center" vertical="center" wrapText="1"/>
      <protection locked="0"/>
    </xf>
    <xf numFmtId="0" fontId="27" fillId="0" borderId="74" xfId="46" applyFont="1" applyBorder="1" applyAlignment="1" applyProtection="1">
      <alignment horizontal="center" vertical="center" wrapText="1"/>
      <protection locked="0"/>
    </xf>
    <xf numFmtId="0" fontId="27" fillId="0" borderId="62" xfId="46" applyFont="1" applyFill="1" applyBorder="1" applyAlignment="1" applyProtection="1">
      <alignment horizontal="left" vertical="center" wrapText="1"/>
      <protection locked="0"/>
    </xf>
    <xf numFmtId="0" fontId="27" fillId="0" borderId="55" xfId="46" applyFont="1" applyFill="1" applyBorder="1" applyAlignment="1" applyProtection="1">
      <alignment horizontal="left" vertical="center" wrapText="1"/>
      <protection locked="0"/>
    </xf>
    <xf numFmtId="0" fontId="27" fillId="0" borderId="24" xfId="46" applyFont="1" applyBorder="1" applyAlignment="1" applyProtection="1">
      <alignment horizontal="left" vertical="top" wrapText="1"/>
      <protection locked="0"/>
    </xf>
    <xf numFmtId="0" fontId="27" fillId="0" borderId="31" xfId="46" applyFont="1" applyBorder="1" applyAlignment="1" applyProtection="1">
      <alignment horizontal="left" vertical="top" wrapText="1"/>
      <protection locked="0"/>
    </xf>
    <xf numFmtId="16" fontId="27" fillId="0" borderId="62" xfId="46" quotePrefix="1" applyNumberFormat="1" applyFont="1" applyBorder="1" applyAlignment="1" applyProtection="1">
      <alignment horizontal="center" vertical="center" wrapText="1"/>
      <protection locked="0"/>
    </xf>
    <xf numFmtId="16" fontId="27" fillId="0" borderId="10" xfId="46" quotePrefix="1" applyNumberFormat="1" applyFont="1" applyBorder="1" applyAlignment="1" applyProtection="1">
      <alignment horizontal="center" vertical="center" wrapText="1"/>
      <protection locked="0"/>
    </xf>
    <xf numFmtId="0" fontId="27" fillId="25" borderId="22" xfId="46" applyFont="1" applyFill="1" applyBorder="1" applyAlignment="1" applyProtection="1">
      <alignment horizontal="center" vertical="center" wrapText="1"/>
      <protection locked="0"/>
    </xf>
    <xf numFmtId="0" fontId="27" fillId="25" borderId="82" xfId="46" applyFont="1" applyFill="1" applyBorder="1" applyAlignment="1" applyProtection="1">
      <alignment horizontal="center" vertical="center" wrapText="1"/>
      <protection locked="0"/>
    </xf>
    <xf numFmtId="0" fontId="27" fillId="0" borderId="0" xfId="46" applyFont="1" applyBorder="1" applyAlignment="1" applyProtection="1">
      <alignment horizontal="left" vertical="center" wrapText="1"/>
      <protection locked="0"/>
    </xf>
    <xf numFmtId="0" fontId="27" fillId="0" borderId="19" xfId="46" applyFont="1" applyBorder="1" applyAlignment="1" applyProtection="1">
      <alignment horizontal="center" vertical="center" wrapText="1"/>
      <protection locked="0"/>
    </xf>
    <xf numFmtId="0" fontId="27" fillId="0" borderId="62" xfId="46" quotePrefix="1" applyFont="1" applyBorder="1" applyAlignment="1" applyProtection="1">
      <alignment horizontal="center" vertical="center" wrapText="1"/>
      <protection locked="0"/>
    </xf>
    <xf numFmtId="0" fontId="27" fillId="0" borderId="10" xfId="46" quotePrefix="1" applyFont="1" applyBorder="1" applyAlignment="1" applyProtection="1">
      <alignment horizontal="center" vertical="center" wrapText="1"/>
      <protection locked="0"/>
    </xf>
    <xf numFmtId="0" fontId="27" fillId="0" borderId="45" xfId="46" quotePrefix="1" applyFont="1" applyBorder="1" applyAlignment="1" applyProtection="1">
      <alignment horizontal="center" vertical="center" wrapText="1"/>
      <protection locked="0"/>
    </xf>
    <xf numFmtId="0" fontId="27" fillId="28" borderId="64" xfId="46" applyFont="1" applyFill="1" applyBorder="1" applyAlignment="1" applyProtection="1">
      <alignment horizontal="right" vertical="center" wrapText="1"/>
      <protection locked="0"/>
    </xf>
    <xf numFmtId="0" fontId="27" fillId="33" borderId="53" xfId="46" applyFont="1" applyFill="1" applyBorder="1" applyAlignment="1">
      <alignment horizontal="right" vertical="center" wrapText="1"/>
    </xf>
    <xf numFmtId="0" fontId="27" fillId="33" borderId="60" xfId="46" applyFont="1" applyFill="1" applyBorder="1" applyAlignment="1">
      <alignment horizontal="right" vertical="center" wrapText="1"/>
    </xf>
    <xf numFmtId="0" fontId="27" fillId="33" borderId="61" xfId="46" applyFont="1" applyFill="1" applyBorder="1" applyAlignment="1">
      <alignment horizontal="right" vertical="center" wrapText="1"/>
    </xf>
    <xf numFmtId="0" fontId="27" fillId="33" borderId="41" xfId="46" applyFont="1" applyFill="1" applyBorder="1" applyAlignment="1" applyProtection="1">
      <alignment horizontal="left" vertical="center" wrapText="1"/>
      <protection locked="0"/>
    </xf>
    <xf numFmtId="0" fontId="27" fillId="33" borderId="42" xfId="46" applyFont="1" applyFill="1" applyBorder="1" applyAlignment="1" applyProtection="1">
      <alignment horizontal="left" vertical="center" wrapText="1"/>
      <protection locked="0"/>
    </xf>
    <xf numFmtId="0" fontId="27" fillId="33" borderId="43" xfId="46" applyFont="1" applyFill="1" applyBorder="1" applyAlignment="1" applyProtection="1">
      <alignment horizontal="left" vertical="center" wrapText="1"/>
      <protection locked="0"/>
    </xf>
    <xf numFmtId="0" fontId="27" fillId="24" borderId="63" xfId="46" applyFont="1" applyFill="1" applyBorder="1" applyAlignment="1" applyProtection="1">
      <alignment horizontal="left" vertical="center" wrapText="1"/>
      <protection locked="0"/>
    </xf>
    <xf numFmtId="0" fontId="27" fillId="24" borderId="64" xfId="46" applyFont="1" applyFill="1" applyBorder="1" applyAlignment="1" applyProtection="1">
      <alignment horizontal="left" vertical="center" wrapText="1"/>
      <protection locked="0"/>
    </xf>
    <xf numFmtId="0" fontId="27" fillId="24" borderId="51" xfId="46" applyFont="1" applyFill="1" applyBorder="1" applyAlignment="1" applyProtection="1">
      <alignment horizontal="left" vertical="center" wrapText="1"/>
      <protection locked="0"/>
    </xf>
    <xf numFmtId="0" fontId="27" fillId="0" borderId="13" xfId="46" applyFont="1" applyBorder="1" applyAlignment="1" applyProtection="1">
      <alignment horizontal="left" vertical="center" wrapText="1"/>
      <protection locked="0"/>
    </xf>
    <xf numFmtId="16" fontId="27" fillId="0" borderId="44" xfId="46" quotePrefix="1" applyNumberFormat="1" applyFont="1" applyBorder="1" applyAlignment="1" applyProtection="1">
      <alignment horizontal="center" vertical="center" wrapText="1"/>
      <protection locked="0"/>
    </xf>
    <xf numFmtId="0" fontId="27" fillId="32" borderId="38" xfId="46" applyFont="1" applyFill="1" applyBorder="1" applyAlignment="1" applyProtection="1">
      <alignment horizontal="right" vertical="center" wrapText="1"/>
      <protection locked="0"/>
    </xf>
    <xf numFmtId="0" fontId="27" fillId="32" borderId="39" xfId="46" applyFont="1" applyFill="1" applyBorder="1" applyAlignment="1" applyProtection="1">
      <alignment horizontal="right" vertical="center" wrapText="1"/>
      <protection locked="0"/>
    </xf>
    <xf numFmtId="0" fontId="27" fillId="32" borderId="40" xfId="46" applyFont="1" applyFill="1" applyBorder="1" applyAlignment="1" applyProtection="1">
      <alignment horizontal="right" vertical="center" wrapText="1"/>
      <protection locked="0"/>
    </xf>
    <xf numFmtId="0" fontId="27" fillId="0" borderId="55" xfId="46" applyFont="1" applyBorder="1" applyAlignment="1" applyProtection="1">
      <alignment horizontal="left" vertical="center" wrapText="1"/>
      <protection locked="0"/>
    </xf>
    <xf numFmtId="0" fontId="27" fillId="0" borderId="69" xfId="46" applyFont="1" applyBorder="1" applyAlignment="1" applyProtection="1">
      <alignment horizontal="center" vertical="center" wrapText="1"/>
      <protection locked="0"/>
    </xf>
    <xf numFmtId="0" fontId="27" fillId="0" borderId="30" xfId="46" applyFont="1" applyBorder="1" applyAlignment="1" applyProtection="1">
      <alignment horizontal="center" vertical="center" wrapText="1"/>
      <protection locked="0"/>
    </xf>
    <xf numFmtId="0" fontId="27" fillId="0" borderId="20" xfId="46" applyFont="1" applyBorder="1" applyAlignment="1" applyProtection="1">
      <alignment horizontal="center" vertical="center" wrapText="1"/>
      <protection locked="0"/>
    </xf>
    <xf numFmtId="0" fontId="27" fillId="0" borderId="49" xfId="46" applyFont="1" applyBorder="1" applyAlignment="1" applyProtection="1">
      <alignment horizontal="center" vertical="center" wrapText="1"/>
      <protection locked="0"/>
    </xf>
    <xf numFmtId="0" fontId="27" fillId="0" borderId="70" xfId="46" applyFont="1" applyBorder="1" applyAlignment="1" applyProtection="1">
      <alignment horizontal="center" vertical="center" wrapText="1"/>
      <protection locked="0"/>
    </xf>
    <xf numFmtId="0" fontId="27" fillId="0" borderId="52" xfId="46" applyFont="1" applyBorder="1" applyAlignment="1" applyProtection="1">
      <alignment horizontal="center" vertical="center" wrapText="1"/>
      <protection locked="0"/>
    </xf>
    <xf numFmtId="0" fontId="27" fillId="0" borderId="59" xfId="46" applyFont="1" applyBorder="1" applyAlignment="1" applyProtection="1">
      <alignment horizontal="center" vertical="center"/>
      <protection locked="0"/>
    </xf>
    <xf numFmtId="0" fontId="27" fillId="0" borderId="67" xfId="46" applyFont="1" applyBorder="1" applyAlignment="1">
      <alignment horizontal="center" vertical="center" wrapText="1"/>
    </xf>
    <xf numFmtId="0" fontId="27" fillId="0" borderId="68" xfId="46" applyFont="1" applyBorder="1" applyAlignment="1">
      <alignment horizontal="center" vertical="center" wrapText="1"/>
    </xf>
    <xf numFmtId="167" fontId="27" fillId="0" borderId="60" xfId="46" applyNumberFormat="1" applyFont="1" applyBorder="1" applyAlignment="1">
      <alignment horizontal="left" vertical="center" wrapText="1"/>
    </xf>
    <xf numFmtId="167" fontId="27" fillId="0" borderId="61" xfId="46" applyNumberFormat="1" applyFont="1" applyBorder="1" applyAlignment="1">
      <alignment horizontal="left" vertical="center" wrapText="1"/>
    </xf>
    <xf numFmtId="0" fontId="45" fillId="0" borderId="0" xfId="46" applyFont="1" applyBorder="1" applyAlignment="1">
      <alignment horizontal="center" wrapText="1"/>
    </xf>
    <xf numFmtId="0" fontId="45" fillId="0" borderId="76" xfId="46" applyFont="1" applyBorder="1" applyAlignment="1">
      <alignment horizontal="center" wrapText="1"/>
    </xf>
    <xf numFmtId="167" fontId="27" fillId="0" borderId="51" xfId="46" applyNumberFormat="1" applyFont="1" applyBorder="1" applyAlignment="1">
      <alignment horizontal="center"/>
    </xf>
    <xf numFmtId="167" fontId="27" fillId="0" borderId="12" xfId="57" applyNumberFormat="1" applyFont="1" applyBorder="1" applyAlignment="1">
      <alignment horizontal="center" vertical="center" textRotation="90" wrapText="1"/>
    </xf>
    <xf numFmtId="167" fontId="27" fillId="0" borderId="14" xfId="57" applyNumberFormat="1" applyFont="1" applyBorder="1" applyAlignment="1">
      <alignment horizontal="center" vertical="center" textRotation="90" wrapText="1"/>
    </xf>
    <xf numFmtId="167" fontId="27" fillId="0" borderId="24" xfId="57" applyNumberFormat="1" applyFont="1" applyBorder="1" applyAlignment="1">
      <alignment horizontal="center" vertical="center" textRotation="90" wrapText="1"/>
    </xf>
    <xf numFmtId="167" fontId="27" fillId="0" borderId="35" xfId="57" applyNumberFormat="1" applyFont="1" applyBorder="1" applyAlignment="1">
      <alignment horizontal="center" vertical="center" textRotation="90" wrapText="1"/>
    </xf>
    <xf numFmtId="167" fontId="27" fillId="0" borderId="17" xfId="57" applyNumberFormat="1" applyFont="1" applyBorder="1" applyAlignment="1">
      <alignment horizontal="center" vertical="center" textRotation="90" wrapText="1"/>
    </xf>
    <xf numFmtId="167" fontId="27" fillId="0" borderId="45" xfId="57" applyNumberFormat="1" applyFont="1" applyBorder="1" applyAlignment="1">
      <alignment horizontal="center" vertical="center" textRotation="90" wrapText="1"/>
    </xf>
    <xf numFmtId="167" fontId="27" fillId="0" borderId="81" xfId="57" applyNumberFormat="1" applyFont="1" applyBorder="1" applyAlignment="1">
      <alignment horizontal="center" vertical="center" wrapText="1"/>
    </xf>
    <xf numFmtId="167" fontId="27" fillId="0" borderId="84" xfId="57" applyNumberFormat="1" applyFont="1" applyBorder="1" applyAlignment="1">
      <alignment horizontal="center" vertical="center" wrapText="1"/>
    </xf>
    <xf numFmtId="167" fontId="27" fillId="0" borderId="79" xfId="57" applyNumberFormat="1" applyFont="1" applyBorder="1" applyAlignment="1">
      <alignment horizontal="center" vertical="center" wrapText="1"/>
    </xf>
    <xf numFmtId="167" fontId="27" fillId="0" borderId="12" xfId="57" applyNumberFormat="1" applyFont="1" applyBorder="1" applyAlignment="1">
      <alignment horizontal="center" vertical="center" wrapText="1"/>
    </xf>
    <xf numFmtId="167" fontId="27" fillId="0" borderId="26" xfId="57" applyNumberFormat="1" applyFont="1" applyBorder="1" applyAlignment="1">
      <alignment horizontal="center" vertical="center" wrapText="1"/>
    </xf>
    <xf numFmtId="167" fontId="27" fillId="0" borderId="60" xfId="57" applyNumberFormat="1" applyFont="1" applyBorder="1" applyAlignment="1">
      <alignment horizontal="left" vertical="center" wrapText="1"/>
    </xf>
    <xf numFmtId="167" fontId="27" fillId="0" borderId="61" xfId="57" applyNumberFormat="1" applyFont="1" applyBorder="1" applyAlignment="1">
      <alignment horizontal="left" vertical="center" wrapText="1"/>
    </xf>
    <xf numFmtId="0" fontId="26" fillId="0" borderId="63" xfId="57" applyFont="1" applyBorder="1" applyAlignment="1">
      <alignment horizontal="right"/>
    </xf>
    <xf numFmtId="0" fontId="26" fillId="0" borderId="64" xfId="57" applyFont="1" applyBorder="1" applyAlignment="1">
      <alignment horizontal="right"/>
    </xf>
    <xf numFmtId="167" fontId="27" fillId="0" borderId="64" xfId="57" applyNumberFormat="1" applyFont="1" applyBorder="1" applyAlignment="1">
      <alignment horizontal="center"/>
    </xf>
    <xf numFmtId="167" fontId="27" fillId="0" borderId="51" xfId="57" applyNumberFormat="1" applyFont="1" applyBorder="1" applyAlignment="1">
      <alignment horizontal="center"/>
    </xf>
    <xf numFmtId="1" fontId="27" fillId="0" borderId="25" xfId="57" applyNumberFormat="1" applyFont="1" applyBorder="1" applyAlignment="1">
      <alignment horizontal="center" vertical="center" textRotation="90" wrapText="1"/>
    </xf>
    <xf numFmtId="1" fontId="27" fillId="0" borderId="11" xfId="57" applyNumberFormat="1" applyFont="1" applyBorder="1" applyAlignment="1">
      <alignment horizontal="center" vertical="center" textRotation="90" wrapText="1"/>
    </xf>
    <xf numFmtId="1" fontId="27" fillId="0" borderId="15" xfId="57" applyNumberFormat="1" applyFont="1" applyBorder="1" applyAlignment="1">
      <alignment horizontal="center" vertical="center" textRotation="90" wrapText="1"/>
    </xf>
    <xf numFmtId="1" fontId="27" fillId="0" borderId="12" xfId="57" applyNumberFormat="1" applyFont="1" applyBorder="1" applyAlignment="1">
      <alignment horizontal="center" vertical="center" textRotation="90" wrapText="1"/>
    </xf>
    <xf numFmtId="1" fontId="27" fillId="0" borderId="14" xfId="57" applyNumberFormat="1" applyFont="1" applyBorder="1" applyAlignment="1">
      <alignment horizontal="center" vertical="center" textRotation="90" wrapText="1"/>
    </xf>
    <xf numFmtId="1" fontId="27" fillId="0" borderId="24" xfId="57" applyNumberFormat="1" applyFont="1" applyBorder="1" applyAlignment="1">
      <alignment horizontal="center" vertical="center" textRotation="90" wrapText="1"/>
    </xf>
    <xf numFmtId="167" fontId="27" fillId="0" borderId="12" xfId="57" applyNumberFormat="1" applyFont="1" applyBorder="1" applyAlignment="1">
      <alignment horizontal="left" vertical="center" wrapText="1"/>
    </xf>
    <xf numFmtId="167" fontId="27" fillId="0" borderId="14" xfId="57" applyNumberFormat="1" applyFont="1" applyBorder="1" applyAlignment="1">
      <alignment horizontal="left" vertical="center" wrapText="1"/>
    </xf>
    <xf numFmtId="167" fontId="27" fillId="0" borderId="24" xfId="57" applyNumberFormat="1" applyFont="1" applyBorder="1" applyAlignment="1">
      <alignment horizontal="left" vertical="center" wrapText="1"/>
    </xf>
    <xf numFmtId="167" fontId="27" fillId="0" borderId="25" xfId="57" applyNumberFormat="1" applyFont="1" applyBorder="1" applyAlignment="1">
      <alignment horizontal="center" vertical="center" wrapText="1"/>
    </xf>
    <xf numFmtId="0" fontId="24" fillId="0" borderId="22" xfId="57" applyFont="1" applyBorder="1" applyAlignment="1">
      <alignment horizontal="center" wrapText="1"/>
    </xf>
    <xf numFmtId="0" fontId="24" fillId="0" borderId="0" xfId="57" applyFont="1" applyBorder="1" applyAlignment="1">
      <alignment horizontal="center" wrapText="1"/>
    </xf>
    <xf numFmtId="0" fontId="24" fillId="0" borderId="76" xfId="57" applyFont="1" applyBorder="1" applyAlignment="1">
      <alignment horizontal="center" wrapText="1"/>
    </xf>
    <xf numFmtId="167" fontId="27" fillId="0" borderId="15" xfId="57" applyNumberFormat="1" applyFont="1" applyBorder="1" applyAlignment="1">
      <alignment horizontal="center" vertical="center" textRotation="90"/>
    </xf>
    <xf numFmtId="167" fontId="27" fillId="0" borderId="58" xfId="57" applyNumberFormat="1" applyFont="1" applyBorder="1" applyAlignment="1">
      <alignment horizontal="center" vertical="center" textRotation="90"/>
    </xf>
    <xf numFmtId="167" fontId="27" fillId="0" borderId="17" xfId="57" applyNumberFormat="1" applyFont="1" applyBorder="1" applyAlignment="1">
      <alignment horizontal="center" vertical="center" wrapText="1"/>
    </xf>
    <xf numFmtId="167" fontId="27" fillId="0" borderId="36" xfId="57" applyNumberFormat="1" applyFont="1" applyBorder="1" applyAlignment="1">
      <alignment horizontal="center" vertical="center" wrapText="1"/>
    </xf>
    <xf numFmtId="167" fontId="27" fillId="0" borderId="47" xfId="57" applyNumberFormat="1" applyFont="1" applyBorder="1" applyAlignment="1">
      <alignment horizontal="center" vertical="center" wrapText="1"/>
    </xf>
    <xf numFmtId="167" fontId="27" fillId="0" borderId="14" xfId="57" applyNumberFormat="1" applyFont="1" applyBorder="1" applyAlignment="1">
      <alignment horizontal="center" vertical="center" textRotation="90"/>
    </xf>
    <xf numFmtId="167" fontId="27" fillId="0" borderId="24" xfId="57" applyNumberFormat="1" applyFont="1" applyBorder="1" applyAlignment="1">
      <alignment horizontal="center" vertical="center" textRotation="90"/>
    </xf>
    <xf numFmtId="167" fontId="27" fillId="0" borderId="14" xfId="57" applyNumberFormat="1" applyFont="1" applyBorder="1" applyAlignment="1">
      <alignment horizontal="center" vertical="center" wrapText="1"/>
    </xf>
    <xf numFmtId="167" fontId="27" fillId="0" borderId="28" xfId="57" applyNumberFormat="1" applyFont="1" applyBorder="1" applyAlignment="1">
      <alignment horizontal="center" vertical="center" wrapText="1"/>
    </xf>
    <xf numFmtId="167" fontId="27" fillId="0" borderId="11" xfId="57" applyNumberFormat="1" applyFont="1" applyBorder="1" applyAlignment="1">
      <alignment horizontal="center" vertical="center" wrapText="1"/>
    </xf>
    <xf numFmtId="167" fontId="27" fillId="0" borderId="15" xfId="57" applyNumberFormat="1" applyFont="1" applyBorder="1" applyAlignment="1">
      <alignment horizontal="center" vertical="center" wrapText="1"/>
    </xf>
    <xf numFmtId="167" fontId="27" fillId="0" borderId="46" xfId="57" applyNumberFormat="1" applyFont="1" applyBorder="1" applyAlignment="1">
      <alignment horizontal="center" vertical="center" wrapText="1"/>
    </xf>
    <xf numFmtId="167" fontId="27" fillId="0" borderId="20" xfId="57" applyNumberFormat="1" applyFont="1" applyBorder="1" applyAlignment="1">
      <alignment horizontal="center" vertical="center" textRotation="90" wrapText="1"/>
    </xf>
    <xf numFmtId="167" fontId="27" fillId="0" borderId="23" xfId="57" applyNumberFormat="1" applyFont="1" applyBorder="1" applyAlignment="1">
      <alignment horizontal="center" vertical="center" textRotation="90" wrapText="1"/>
    </xf>
    <xf numFmtId="167" fontId="27" fillId="0" borderId="28" xfId="57" applyNumberFormat="1" applyFont="1" applyBorder="1" applyAlignment="1">
      <alignment horizontal="center" vertical="center" textRotation="90" wrapText="1"/>
    </xf>
    <xf numFmtId="167" fontId="27" fillId="30" borderId="38" xfId="57" applyNumberFormat="1" applyFont="1" applyFill="1" applyBorder="1" applyAlignment="1">
      <alignment horizontal="left" vertical="center" wrapText="1"/>
    </xf>
    <xf numFmtId="167" fontId="27" fillId="30" borderId="39" xfId="57" applyNumberFormat="1" applyFont="1" applyFill="1" applyBorder="1" applyAlignment="1">
      <alignment horizontal="left" vertical="center" wrapText="1"/>
    </xf>
    <xf numFmtId="167" fontId="27" fillId="30" borderId="40" xfId="57" applyNumberFormat="1" applyFont="1" applyFill="1" applyBorder="1" applyAlignment="1">
      <alignment horizontal="left" vertical="center" wrapText="1"/>
    </xf>
    <xf numFmtId="167" fontId="27" fillId="29" borderId="38" xfId="57" applyNumberFormat="1" applyFont="1" applyFill="1" applyBorder="1" applyAlignment="1">
      <alignment horizontal="left" vertical="center" wrapText="1"/>
    </xf>
    <xf numFmtId="167" fontId="27" fillId="29" borderId="39" xfId="57" applyNumberFormat="1" applyFont="1" applyFill="1" applyBorder="1" applyAlignment="1">
      <alignment horizontal="left" vertical="center" wrapText="1"/>
    </xf>
    <xf numFmtId="167" fontId="27" fillId="29" borderId="40" xfId="57" applyNumberFormat="1" applyFont="1" applyFill="1" applyBorder="1" applyAlignment="1">
      <alignment horizontal="left" vertical="center" wrapText="1"/>
    </xf>
    <xf numFmtId="167" fontId="27" fillId="25" borderId="38" xfId="57" applyNumberFormat="1" applyFont="1" applyFill="1" applyBorder="1" applyAlignment="1">
      <alignment horizontal="left" vertical="center" wrapText="1"/>
    </xf>
    <xf numFmtId="167" fontId="27" fillId="25" borderId="39" xfId="57" applyNumberFormat="1" applyFont="1" applyFill="1" applyBorder="1" applyAlignment="1">
      <alignment horizontal="left" vertical="center" wrapText="1"/>
    </xf>
    <xf numFmtId="167" fontId="27" fillId="25" borderId="40" xfId="57" applyNumberFormat="1" applyFont="1" applyFill="1" applyBorder="1" applyAlignment="1">
      <alignment horizontal="left" vertical="center" wrapText="1"/>
    </xf>
    <xf numFmtId="167" fontId="27" fillId="24" borderId="38" xfId="57" applyNumberFormat="1" applyFont="1" applyFill="1" applyBorder="1" applyAlignment="1">
      <alignment horizontal="left" vertical="center" wrapText="1"/>
    </xf>
    <xf numFmtId="167" fontId="27" fillId="24" borderId="39" xfId="57" applyNumberFormat="1" applyFont="1" applyFill="1" applyBorder="1" applyAlignment="1">
      <alignment horizontal="left" vertical="center" wrapText="1"/>
    </xf>
    <xf numFmtId="167" fontId="27" fillId="24" borderId="40" xfId="57" applyNumberFormat="1" applyFont="1" applyFill="1" applyBorder="1" applyAlignment="1">
      <alignment horizontal="left" vertical="center" wrapText="1"/>
    </xf>
    <xf numFmtId="1" fontId="27" fillId="25" borderId="11" xfId="57" applyNumberFormat="1" applyFont="1" applyFill="1" applyBorder="1" applyAlignment="1">
      <alignment horizontal="center" vertical="center" wrapText="1"/>
    </xf>
    <xf numFmtId="1" fontId="27" fillId="24" borderId="24" xfId="57" applyNumberFormat="1" applyFont="1" applyFill="1" applyBorder="1" applyAlignment="1">
      <alignment horizontal="center" vertical="center" wrapText="1"/>
    </xf>
    <xf numFmtId="1" fontId="27" fillId="24" borderId="59" xfId="57" applyNumberFormat="1" applyFont="1" applyFill="1" applyBorder="1" applyAlignment="1">
      <alignment horizontal="center" vertical="center" wrapText="1"/>
    </xf>
    <xf numFmtId="1" fontId="27" fillId="0" borderId="59" xfId="57" applyNumberFormat="1" applyFont="1" applyBorder="1" applyAlignment="1">
      <alignment horizontal="center" vertical="center" wrapText="1"/>
    </xf>
    <xf numFmtId="167" fontId="27" fillId="0" borderId="59" xfId="57" applyNumberFormat="1" applyFont="1" applyFill="1" applyBorder="1" applyAlignment="1">
      <alignment horizontal="left" vertical="center" wrapText="1"/>
    </xf>
    <xf numFmtId="1" fontId="27" fillId="0" borderId="62" xfId="57" applyNumberFormat="1" applyFont="1" applyBorder="1" applyAlignment="1">
      <alignment horizontal="center" vertical="center" wrapText="1"/>
    </xf>
    <xf numFmtId="167" fontId="27" fillId="0" borderId="59" xfId="57" applyNumberFormat="1" applyFont="1" applyBorder="1" applyAlignment="1">
      <alignment horizontal="center" vertical="center" wrapText="1"/>
    </xf>
    <xf numFmtId="167" fontId="27" fillId="28" borderId="53" xfId="57" applyNumberFormat="1" applyFont="1" applyFill="1" applyBorder="1" applyAlignment="1">
      <alignment horizontal="right" vertical="center" wrapText="1"/>
    </xf>
    <xf numFmtId="167" fontId="27" fillId="28" borderId="60" xfId="57" applyNumberFormat="1" applyFont="1" applyFill="1" applyBorder="1" applyAlignment="1">
      <alignment horizontal="right" vertical="center" wrapText="1"/>
    </xf>
    <xf numFmtId="1" fontId="27" fillId="0" borderId="24" xfId="57" applyNumberFormat="1" applyFont="1" applyBorder="1" applyAlignment="1">
      <alignment horizontal="center" vertical="center" wrapText="1"/>
    </xf>
    <xf numFmtId="167" fontId="27" fillId="0" borderId="59" xfId="57" applyNumberFormat="1" applyFont="1" applyBorder="1" applyAlignment="1">
      <alignment horizontal="left" vertical="center" wrapText="1"/>
    </xf>
    <xf numFmtId="1" fontId="27" fillId="0" borderId="45" xfId="57" applyNumberFormat="1" applyFont="1" applyBorder="1" applyAlignment="1">
      <alignment horizontal="center" vertical="center" wrapText="1"/>
    </xf>
    <xf numFmtId="167" fontId="27" fillId="0" borderId="13" xfId="57" applyNumberFormat="1" applyFont="1" applyBorder="1" applyAlignment="1">
      <alignment horizontal="center" vertical="center" wrapText="1"/>
    </xf>
    <xf numFmtId="167" fontId="27" fillId="28" borderId="38" xfId="57" applyNumberFormat="1" applyFont="1" applyFill="1" applyBorder="1" applyAlignment="1">
      <alignment horizontal="right" vertical="center" wrapText="1"/>
    </xf>
    <xf numFmtId="167" fontId="27" fillId="28" borderId="39" xfId="57" applyNumberFormat="1" applyFont="1" applyFill="1" applyBorder="1" applyAlignment="1">
      <alignment horizontal="right" vertical="center" wrapText="1"/>
    </xf>
    <xf numFmtId="167" fontId="27" fillId="28" borderId="40" xfId="57" applyNumberFormat="1" applyFont="1" applyFill="1" applyBorder="1" applyAlignment="1">
      <alignment horizontal="right" vertical="center" wrapText="1"/>
    </xf>
    <xf numFmtId="1" fontId="27" fillId="25" borderId="15" xfId="57" applyNumberFormat="1" applyFont="1" applyFill="1" applyBorder="1" applyAlignment="1">
      <alignment horizontal="center" vertical="center" wrapText="1"/>
    </xf>
    <xf numFmtId="1" fontId="27" fillId="25" borderId="16" xfId="57" applyNumberFormat="1" applyFont="1" applyFill="1" applyBorder="1" applyAlignment="1">
      <alignment horizontal="center" vertical="center" wrapText="1"/>
    </xf>
    <xf numFmtId="1" fontId="27" fillId="24" borderId="31" xfId="57" applyNumberFormat="1" applyFont="1" applyFill="1" applyBorder="1" applyAlignment="1">
      <alignment horizontal="center" vertical="center" wrapText="1"/>
    </xf>
    <xf numFmtId="167" fontId="27" fillId="31" borderId="24" xfId="57" applyNumberFormat="1" applyFont="1" applyFill="1" applyBorder="1" applyAlignment="1">
      <alignment horizontal="left" vertical="center" wrapText="1"/>
    </xf>
    <xf numFmtId="167" fontId="27" fillId="31" borderId="59" xfId="57" applyNumberFormat="1" applyFont="1" applyFill="1" applyBorder="1" applyAlignment="1">
      <alignment horizontal="left" vertical="center" wrapText="1"/>
    </xf>
    <xf numFmtId="167" fontId="27" fillId="28" borderId="61" xfId="57" applyNumberFormat="1" applyFont="1" applyFill="1" applyBorder="1" applyAlignment="1">
      <alignment horizontal="right" vertical="center" wrapText="1"/>
    </xf>
    <xf numFmtId="167" fontId="27" fillId="28" borderId="113" xfId="57" applyNumberFormat="1" applyFont="1" applyFill="1" applyBorder="1" applyAlignment="1">
      <alignment horizontal="right" vertical="center" wrapText="1"/>
    </xf>
    <xf numFmtId="167" fontId="27" fillId="28" borderId="114" xfId="57" applyNumberFormat="1" applyFont="1" applyFill="1" applyBorder="1" applyAlignment="1">
      <alignment horizontal="right" vertical="center" wrapText="1"/>
    </xf>
    <xf numFmtId="167" fontId="27" fillId="28" borderId="115" xfId="57" applyNumberFormat="1" applyFont="1" applyFill="1" applyBorder="1" applyAlignment="1">
      <alignment horizontal="right" vertical="center" wrapText="1"/>
    </xf>
    <xf numFmtId="167" fontId="27" fillId="28" borderId="64" xfId="57" applyNumberFormat="1" applyFont="1" applyFill="1" applyBorder="1" applyAlignment="1">
      <alignment horizontal="right" vertical="center" wrapText="1"/>
    </xf>
    <xf numFmtId="167" fontId="27" fillId="28" borderId="51" xfId="57" applyNumberFormat="1" applyFont="1" applyFill="1" applyBorder="1" applyAlignment="1">
      <alignment horizontal="right" vertical="center" wrapText="1"/>
    </xf>
    <xf numFmtId="167" fontId="27" fillId="24" borderId="53" xfId="57" applyNumberFormat="1" applyFont="1" applyFill="1" applyBorder="1" applyAlignment="1">
      <alignment horizontal="right" vertical="center" wrapText="1"/>
    </xf>
    <xf numFmtId="167" fontId="27" fillId="24" borderId="60" xfId="57" applyNumberFormat="1" applyFont="1" applyFill="1" applyBorder="1" applyAlignment="1">
      <alignment horizontal="right" vertical="center" wrapText="1"/>
    </xf>
    <xf numFmtId="167" fontId="27" fillId="24" borderId="61" xfId="57" applyNumberFormat="1" applyFont="1" applyFill="1" applyBorder="1" applyAlignment="1">
      <alignment horizontal="right" vertical="center" wrapText="1"/>
    </xf>
    <xf numFmtId="1" fontId="27" fillId="25" borderId="11" xfId="57" applyNumberFormat="1" applyFont="1" applyFill="1" applyBorder="1" applyAlignment="1">
      <alignment horizontal="center" vertical="center"/>
    </xf>
    <xf numFmtId="1" fontId="27" fillId="24" borderId="24" xfId="57" applyNumberFormat="1" applyFont="1" applyFill="1" applyBorder="1" applyAlignment="1">
      <alignment horizontal="center" vertical="center"/>
    </xf>
    <xf numFmtId="1" fontId="27" fillId="24" borderId="59" xfId="57" applyNumberFormat="1" applyFont="1" applyFill="1" applyBorder="1" applyAlignment="1">
      <alignment horizontal="center" vertical="center"/>
    </xf>
    <xf numFmtId="1" fontId="27" fillId="24" borderId="31" xfId="57" applyNumberFormat="1" applyFont="1" applyFill="1" applyBorder="1" applyAlignment="1">
      <alignment horizontal="center" vertical="center"/>
    </xf>
    <xf numFmtId="1" fontId="27" fillId="0" borderId="59" xfId="57" applyNumberFormat="1" applyFont="1" applyBorder="1" applyAlignment="1">
      <alignment horizontal="center" vertical="center"/>
    </xf>
    <xf numFmtId="1" fontId="27" fillId="0" borderId="31" xfId="57" applyNumberFormat="1" applyFont="1" applyBorder="1" applyAlignment="1">
      <alignment horizontal="center" vertical="center"/>
    </xf>
    <xf numFmtId="167" fontId="27" fillId="0" borderId="31" xfId="57" applyNumberFormat="1" applyFont="1" applyBorder="1" applyAlignment="1">
      <alignment horizontal="left" vertical="center" wrapText="1"/>
    </xf>
    <xf numFmtId="1" fontId="27" fillId="0" borderId="10" xfId="57" applyNumberFormat="1" applyFont="1" applyBorder="1" applyAlignment="1">
      <alignment horizontal="center" vertical="center" wrapText="1"/>
    </xf>
    <xf numFmtId="167" fontId="27" fillId="0" borderId="55" xfId="57" applyNumberFormat="1" applyFont="1" applyBorder="1" applyAlignment="1">
      <alignment horizontal="center" vertical="center" wrapText="1"/>
    </xf>
    <xf numFmtId="1" fontId="27" fillId="25" borderId="83" xfId="57" applyNumberFormat="1" applyFont="1" applyFill="1" applyBorder="1" applyAlignment="1">
      <alignment horizontal="center" vertical="center" wrapText="1"/>
    </xf>
    <xf numFmtId="1" fontId="27" fillId="25" borderId="82" xfId="57" applyNumberFormat="1" applyFont="1" applyFill="1" applyBorder="1" applyAlignment="1">
      <alignment horizontal="center" vertical="center" wrapText="1"/>
    </xf>
    <xf numFmtId="1" fontId="27" fillId="24" borderId="20" xfId="57" applyNumberFormat="1" applyFont="1" applyFill="1" applyBorder="1" applyAlignment="1">
      <alignment horizontal="center" vertical="center" wrapText="1"/>
    </xf>
    <xf numFmtId="1" fontId="27" fillId="24" borderId="19" xfId="57" applyNumberFormat="1" applyFont="1" applyFill="1" applyBorder="1" applyAlignment="1">
      <alignment horizontal="center" vertical="center" wrapText="1"/>
    </xf>
    <xf numFmtId="167" fontId="27" fillId="24" borderId="38" xfId="57" applyNumberFormat="1" applyFont="1" applyFill="1" applyBorder="1" applyAlignment="1">
      <alignment horizontal="right" vertical="center" wrapText="1"/>
    </xf>
    <xf numFmtId="167" fontId="27" fillId="24" borderId="39" xfId="57" applyNumberFormat="1" applyFont="1" applyFill="1" applyBorder="1" applyAlignment="1">
      <alignment horizontal="right" vertical="center" wrapText="1"/>
    </xf>
    <xf numFmtId="167" fontId="27" fillId="24" borderId="40" xfId="57" applyNumberFormat="1" applyFont="1" applyFill="1" applyBorder="1" applyAlignment="1">
      <alignment horizontal="right" vertical="center" wrapText="1"/>
    </xf>
    <xf numFmtId="1" fontId="27" fillId="25" borderId="15" xfId="57" applyNumberFormat="1" applyFont="1" applyFill="1" applyBorder="1" applyAlignment="1">
      <alignment horizontal="center" vertical="center"/>
    </xf>
    <xf numFmtId="1" fontId="27" fillId="25" borderId="58" xfId="57" applyNumberFormat="1" applyFont="1" applyFill="1" applyBorder="1" applyAlignment="1">
      <alignment horizontal="center" vertical="center"/>
    </xf>
    <xf numFmtId="1" fontId="27" fillId="25" borderId="16" xfId="57" applyNumberFormat="1" applyFont="1" applyFill="1" applyBorder="1" applyAlignment="1">
      <alignment horizontal="center" vertical="center"/>
    </xf>
    <xf numFmtId="1" fontId="27" fillId="0" borderId="24" xfId="57" applyNumberFormat="1" applyFont="1" applyBorder="1" applyAlignment="1">
      <alignment horizontal="center" vertical="center"/>
    </xf>
    <xf numFmtId="1" fontId="27" fillId="0" borderId="55" xfId="57" applyNumberFormat="1" applyFont="1" applyBorder="1" applyAlignment="1">
      <alignment horizontal="center" vertical="center"/>
    </xf>
    <xf numFmtId="167" fontId="27" fillId="0" borderId="55" xfId="57" applyNumberFormat="1" applyFont="1" applyBorder="1" applyAlignment="1">
      <alignment horizontal="left" vertical="center" wrapText="1"/>
    </xf>
    <xf numFmtId="1" fontId="27" fillId="0" borderId="74" xfId="57" applyNumberFormat="1" applyFont="1" applyBorder="1" applyAlignment="1">
      <alignment horizontal="center" vertical="center" wrapText="1"/>
    </xf>
    <xf numFmtId="167" fontId="27" fillId="0" borderId="31" xfId="57" applyNumberFormat="1" applyFont="1" applyBorder="1" applyAlignment="1">
      <alignment horizontal="center" vertical="center" wrapText="1"/>
    </xf>
    <xf numFmtId="167" fontId="27" fillId="0" borderId="24" xfId="57" applyNumberFormat="1" applyFont="1" applyBorder="1" applyAlignment="1">
      <alignment horizontal="center" vertical="center" wrapText="1"/>
    </xf>
    <xf numFmtId="167" fontId="27" fillId="0" borderId="31" xfId="57" applyNumberFormat="1" applyFont="1" applyBorder="1" applyAlignment="1">
      <alignment horizontal="center" vertical="center"/>
    </xf>
    <xf numFmtId="167" fontId="27" fillId="0" borderId="14" xfId="57" applyNumberFormat="1" applyFont="1" applyBorder="1" applyAlignment="1">
      <alignment horizontal="center" vertical="center"/>
    </xf>
    <xf numFmtId="167" fontId="27" fillId="0" borderId="24" xfId="57" applyNumberFormat="1" applyFont="1" applyBorder="1" applyAlignment="1">
      <alignment horizontal="center" vertical="center"/>
    </xf>
    <xf numFmtId="1" fontId="27" fillId="0" borderId="31" xfId="57" applyNumberFormat="1" applyFont="1" applyBorder="1" applyAlignment="1">
      <alignment horizontal="center" vertical="center" wrapText="1"/>
    </xf>
    <xf numFmtId="167" fontId="27" fillId="0" borderId="24" xfId="57" applyNumberFormat="1" applyFont="1" applyFill="1" applyBorder="1" applyAlignment="1">
      <alignment horizontal="left" vertical="center" wrapText="1"/>
    </xf>
    <xf numFmtId="1" fontId="27" fillId="25" borderId="58" xfId="57" applyNumberFormat="1" applyFont="1" applyFill="1" applyBorder="1" applyAlignment="1">
      <alignment horizontal="center" vertical="center" wrapText="1"/>
    </xf>
    <xf numFmtId="167" fontId="27" fillId="26" borderId="13" xfId="57" applyNumberFormat="1" applyFont="1" applyFill="1" applyBorder="1" applyAlignment="1">
      <alignment horizontal="center" vertical="center" wrapText="1"/>
    </xf>
    <xf numFmtId="167" fontId="27" fillId="26" borderId="59" xfId="57" applyNumberFormat="1" applyFont="1" applyFill="1" applyBorder="1" applyAlignment="1">
      <alignment horizontal="center" vertical="center" wrapText="1"/>
    </xf>
    <xf numFmtId="167" fontId="27" fillId="26" borderId="55" xfId="57" applyNumberFormat="1" applyFont="1" applyFill="1" applyBorder="1" applyAlignment="1">
      <alignment horizontal="center" vertical="center" wrapText="1"/>
    </xf>
    <xf numFmtId="167" fontId="27" fillId="0" borderId="31" xfId="57" applyNumberFormat="1" applyFont="1" applyFill="1" applyBorder="1" applyAlignment="1">
      <alignment horizontal="left" vertical="center" wrapText="1"/>
    </xf>
    <xf numFmtId="167" fontId="27" fillId="0" borderId="44" xfId="57" applyNumberFormat="1" applyFont="1" applyBorder="1" applyAlignment="1">
      <alignment horizontal="center" vertical="center" wrapText="1"/>
    </xf>
    <xf numFmtId="167" fontId="27" fillId="0" borderId="62" xfId="57" applyNumberFormat="1" applyFont="1" applyBorder="1" applyAlignment="1">
      <alignment horizontal="center" vertical="center" wrapText="1"/>
    </xf>
    <xf numFmtId="167" fontId="27" fillId="0" borderId="74" xfId="57" applyNumberFormat="1" applyFont="1" applyBorder="1" applyAlignment="1">
      <alignment horizontal="center" vertical="center" wrapText="1"/>
    </xf>
    <xf numFmtId="0" fontId="27" fillId="0" borderId="13" xfId="57" applyFont="1" applyBorder="1" applyAlignment="1">
      <alignment horizontal="center" vertical="center" wrapText="1"/>
    </xf>
    <xf numFmtId="0" fontId="27" fillId="0" borderId="59" xfId="57" applyFont="1" applyBorder="1" applyAlignment="1">
      <alignment horizontal="center" vertical="center" wrapText="1"/>
    </xf>
    <xf numFmtId="0" fontId="27" fillId="0" borderId="55" xfId="57" applyFont="1" applyBorder="1" applyAlignment="1">
      <alignment horizontal="center" vertical="center" wrapText="1"/>
    </xf>
    <xf numFmtId="0" fontId="27" fillId="28" borderId="38" xfId="57" applyFont="1" applyFill="1" applyBorder="1" applyAlignment="1">
      <alignment horizontal="right" vertical="center" wrapText="1"/>
    </xf>
    <xf numFmtId="0" fontId="27" fillId="28" borderId="39" xfId="57" applyFont="1" applyFill="1" applyBorder="1" applyAlignment="1">
      <alignment horizontal="right" vertical="center" wrapText="1"/>
    </xf>
    <xf numFmtId="0" fontId="27" fillId="28" borderId="40" xfId="57" applyFont="1" applyFill="1" applyBorder="1" applyAlignment="1">
      <alignment horizontal="right" vertical="center" wrapText="1"/>
    </xf>
    <xf numFmtId="167" fontId="27" fillId="31" borderId="13" xfId="57" applyNumberFormat="1" applyFont="1" applyFill="1" applyBorder="1" applyAlignment="1">
      <alignment horizontal="center" vertical="center" wrapText="1"/>
    </xf>
    <xf numFmtId="167" fontId="27" fillId="31" borderId="55" xfId="57" applyNumberFormat="1" applyFont="1" applyFill="1" applyBorder="1" applyAlignment="1">
      <alignment horizontal="center" vertical="center" wrapText="1"/>
    </xf>
    <xf numFmtId="0" fontId="27" fillId="25" borderId="15" xfId="57" applyFont="1" applyFill="1" applyBorder="1" applyAlignment="1">
      <alignment horizontal="center" vertical="center" wrapText="1"/>
    </xf>
    <xf numFmtId="0" fontId="27" fillId="25" borderId="58" xfId="57" applyFont="1" applyFill="1" applyBorder="1" applyAlignment="1">
      <alignment horizontal="center" vertical="center" wrapText="1"/>
    </xf>
    <xf numFmtId="0" fontId="27" fillId="25" borderId="16" xfId="57" applyFont="1" applyFill="1" applyBorder="1" applyAlignment="1">
      <alignment horizontal="center" vertical="center" wrapText="1"/>
    </xf>
    <xf numFmtId="0" fontId="27" fillId="24" borderId="24" xfId="57" applyFont="1" applyFill="1" applyBorder="1" applyAlignment="1">
      <alignment horizontal="center" vertical="center" wrapText="1"/>
    </xf>
    <xf numFmtId="0" fontId="27" fillId="24" borderId="59" xfId="57" applyFont="1" applyFill="1" applyBorder="1" applyAlignment="1">
      <alignment horizontal="center" vertical="center" wrapText="1"/>
    </xf>
    <xf numFmtId="0" fontId="27" fillId="24" borderId="31" xfId="57" applyFont="1" applyFill="1" applyBorder="1" applyAlignment="1">
      <alignment horizontal="center" vertical="center" wrapText="1"/>
    </xf>
    <xf numFmtId="0" fontId="27" fillId="0" borderId="24" xfId="57" applyFont="1" applyBorder="1" applyAlignment="1">
      <alignment horizontal="center" vertical="center" wrapText="1"/>
    </xf>
    <xf numFmtId="0" fontId="27" fillId="0" borderId="31" xfId="57" applyFont="1" applyBorder="1" applyAlignment="1">
      <alignment horizontal="center" vertical="center" wrapText="1"/>
    </xf>
    <xf numFmtId="0" fontId="27" fillId="31" borderId="24" xfId="57" applyFont="1" applyFill="1" applyBorder="1" applyAlignment="1">
      <alignment horizontal="left" vertical="center" wrapText="1"/>
    </xf>
    <xf numFmtId="0" fontId="27" fillId="31" borderId="59" xfId="57" applyFont="1" applyFill="1" applyBorder="1" applyAlignment="1">
      <alignment horizontal="left" vertical="center" wrapText="1"/>
    </xf>
    <xf numFmtId="0" fontId="27" fillId="31" borderId="31" xfId="57" applyFont="1" applyFill="1" applyBorder="1" applyAlignment="1">
      <alignment horizontal="left" vertical="center" wrapText="1"/>
    </xf>
    <xf numFmtId="167" fontId="27" fillId="31" borderId="31" xfId="57" applyNumberFormat="1" applyFont="1" applyFill="1" applyBorder="1" applyAlignment="1">
      <alignment horizontal="left" vertical="center" wrapText="1"/>
    </xf>
    <xf numFmtId="167" fontId="27" fillId="31" borderId="59" xfId="57" applyNumberFormat="1" applyFont="1" applyFill="1" applyBorder="1" applyAlignment="1">
      <alignment horizontal="center" vertical="center" wrapText="1"/>
    </xf>
    <xf numFmtId="1" fontId="27" fillId="24" borderId="23" xfId="57" applyNumberFormat="1" applyFont="1" applyFill="1" applyBorder="1" applyAlignment="1">
      <alignment horizontal="center" vertical="center" wrapText="1"/>
    </xf>
    <xf numFmtId="167" fontId="27" fillId="28" borderId="39" xfId="57" applyNumberFormat="1" applyFont="1" applyFill="1" applyBorder="1" applyAlignment="1">
      <alignment horizontal="center" vertical="center" wrapText="1"/>
    </xf>
    <xf numFmtId="167" fontId="27" fillId="28" borderId="40" xfId="57" applyNumberFormat="1" applyFont="1" applyFill="1" applyBorder="1" applyAlignment="1">
      <alignment horizontal="center" vertical="center" wrapText="1"/>
    </xf>
    <xf numFmtId="167" fontId="27" fillId="0" borderId="13" xfId="57" applyNumberFormat="1" applyFont="1" applyFill="1" applyBorder="1" applyAlignment="1">
      <alignment horizontal="center" vertical="center" wrapText="1"/>
    </xf>
    <xf numFmtId="167" fontId="27" fillId="0" borderId="59" xfId="57" applyNumberFormat="1" applyFont="1" applyFill="1" applyBorder="1" applyAlignment="1">
      <alignment horizontal="center" vertical="center" wrapText="1"/>
    </xf>
    <xf numFmtId="167" fontId="27" fillId="0" borderId="55" xfId="57" applyNumberFormat="1" applyFont="1" applyFill="1" applyBorder="1" applyAlignment="1">
      <alignment horizontal="center" vertical="center" wrapText="1"/>
    </xf>
    <xf numFmtId="167" fontId="27" fillId="0" borderId="60" xfId="57" applyNumberFormat="1" applyFont="1" applyBorder="1" applyAlignment="1">
      <alignment horizontal="center" vertical="center" wrapText="1"/>
    </xf>
    <xf numFmtId="167" fontId="27" fillId="0" borderId="64" xfId="57" applyNumberFormat="1" applyFont="1" applyBorder="1" applyAlignment="1">
      <alignment horizontal="center" vertical="center" wrapText="1"/>
    </xf>
    <xf numFmtId="167" fontId="27" fillId="26" borderId="31" xfId="57" applyNumberFormat="1" applyFont="1" applyFill="1" applyBorder="1" applyAlignment="1">
      <alignment horizontal="center" vertical="center" wrapText="1"/>
    </xf>
    <xf numFmtId="167" fontId="27" fillId="26" borderId="24" xfId="57" applyNumberFormat="1" applyFont="1" applyFill="1" applyBorder="1" applyAlignment="1">
      <alignment horizontal="center" vertical="center" wrapText="1"/>
    </xf>
    <xf numFmtId="1" fontId="27" fillId="24" borderId="14" xfId="57" applyNumberFormat="1" applyFont="1" applyFill="1" applyBorder="1" applyAlignment="1">
      <alignment horizontal="center" vertical="center" wrapText="1"/>
    </xf>
    <xf numFmtId="1" fontId="27" fillId="0" borderId="14" xfId="57" applyNumberFormat="1" applyFont="1" applyBorder="1" applyAlignment="1">
      <alignment horizontal="center" vertical="center" wrapText="1"/>
    </xf>
    <xf numFmtId="167" fontId="27" fillId="0" borderId="14" xfId="57" applyNumberFormat="1" applyFont="1" applyFill="1" applyBorder="1" applyAlignment="1">
      <alignment horizontal="left" vertical="center" wrapText="1"/>
    </xf>
    <xf numFmtId="1" fontId="27" fillId="0" borderId="17" xfId="57" applyNumberFormat="1" applyFont="1" applyBorder="1" applyAlignment="1">
      <alignment horizontal="center" vertical="center" wrapText="1"/>
    </xf>
    <xf numFmtId="167" fontId="27" fillId="31" borderId="14" xfId="57" applyNumberFormat="1" applyFont="1" applyFill="1" applyBorder="1" applyAlignment="1">
      <alignment horizontal="left" vertical="center" wrapText="1"/>
    </xf>
    <xf numFmtId="1" fontId="27" fillId="0" borderId="55" xfId="57" applyNumberFormat="1" applyFont="1" applyBorder="1" applyAlignment="1">
      <alignment horizontal="center" vertical="center" wrapText="1"/>
    </xf>
    <xf numFmtId="167" fontId="27" fillId="24" borderId="38" xfId="57" applyNumberFormat="1" applyFont="1" applyFill="1" applyBorder="1" applyAlignment="1">
      <alignment horizontal="right" vertical="center"/>
    </xf>
    <xf numFmtId="167" fontId="27" fillId="24" borderId="39" xfId="57" applyNumberFormat="1" applyFont="1" applyFill="1" applyBorder="1" applyAlignment="1">
      <alignment horizontal="right" vertical="center"/>
    </xf>
    <xf numFmtId="167" fontId="27" fillId="24" borderId="40" xfId="57" applyNumberFormat="1" applyFont="1" applyFill="1" applyBorder="1" applyAlignment="1">
      <alignment horizontal="right" vertical="center"/>
    </xf>
    <xf numFmtId="167" fontId="27" fillId="28" borderId="63" xfId="57" applyNumberFormat="1" applyFont="1" applyFill="1" applyBorder="1" applyAlignment="1">
      <alignment horizontal="right" vertical="center" wrapText="1"/>
    </xf>
    <xf numFmtId="167" fontId="27" fillId="24" borderId="38" xfId="57" applyNumberFormat="1" applyFont="1" applyFill="1" applyBorder="1" applyAlignment="1">
      <alignment horizontal="left" vertical="center"/>
    </xf>
    <xf numFmtId="167" fontId="27" fillId="24" borderId="39" xfId="57" applyNumberFormat="1" applyFont="1" applyFill="1" applyBorder="1" applyAlignment="1">
      <alignment horizontal="left" vertical="center"/>
    </xf>
    <xf numFmtId="167" fontId="27" fillId="24" borderId="40" xfId="57" applyNumberFormat="1" applyFont="1" applyFill="1" applyBorder="1" applyAlignment="1">
      <alignment horizontal="left" vertical="center"/>
    </xf>
    <xf numFmtId="1" fontId="27" fillId="0" borderId="62" xfId="57" applyNumberFormat="1" applyFont="1" applyBorder="1" applyAlignment="1">
      <alignment horizontal="center" vertical="center"/>
    </xf>
    <xf numFmtId="1" fontId="27" fillId="0" borderId="10" xfId="57" applyNumberFormat="1" applyFont="1" applyBorder="1" applyAlignment="1">
      <alignment horizontal="center" vertical="center"/>
    </xf>
    <xf numFmtId="1" fontId="27" fillId="0" borderId="45" xfId="57" applyNumberFormat="1" applyFont="1" applyBorder="1" applyAlignment="1">
      <alignment horizontal="center" vertical="center"/>
    </xf>
    <xf numFmtId="167" fontId="27" fillId="25" borderId="53" xfId="57" applyNumberFormat="1" applyFont="1" applyFill="1" applyBorder="1" applyAlignment="1">
      <alignment horizontal="right" vertical="center"/>
    </xf>
    <xf numFmtId="167" fontId="27" fillId="25" borderId="60" xfId="57" applyNumberFormat="1" applyFont="1" applyFill="1" applyBorder="1" applyAlignment="1">
      <alignment horizontal="right" vertical="center"/>
    </xf>
    <xf numFmtId="167" fontId="27" fillId="25" borderId="61" xfId="57" applyNumberFormat="1" applyFont="1" applyFill="1" applyBorder="1" applyAlignment="1">
      <alignment horizontal="right" vertical="center"/>
    </xf>
    <xf numFmtId="167" fontId="27" fillId="25" borderId="38" xfId="57" applyNumberFormat="1" applyFont="1" applyFill="1" applyBorder="1" applyAlignment="1">
      <alignment horizontal="left" vertical="center"/>
    </xf>
    <xf numFmtId="167" fontId="27" fillId="25" borderId="39" xfId="57" applyNumberFormat="1" applyFont="1" applyFill="1" applyBorder="1" applyAlignment="1">
      <alignment horizontal="left" vertical="center"/>
    </xf>
    <xf numFmtId="167" fontId="27" fillId="25" borderId="40" xfId="57" applyNumberFormat="1" applyFont="1" applyFill="1" applyBorder="1" applyAlignment="1">
      <alignment horizontal="left" vertical="center"/>
    </xf>
    <xf numFmtId="1" fontId="27" fillId="0" borderId="74" xfId="57" applyNumberFormat="1" applyFont="1" applyBorder="1" applyAlignment="1">
      <alignment horizontal="center" vertical="center"/>
    </xf>
    <xf numFmtId="167" fontId="27" fillId="0" borderId="24" xfId="57" applyNumberFormat="1" applyFont="1" applyBorder="1" applyAlignment="1">
      <alignment horizontal="left" vertical="center" wrapText="1" shrinkToFit="1"/>
    </xf>
    <xf numFmtId="167" fontId="27" fillId="0" borderId="31" xfId="57" applyNumberFormat="1" applyFont="1" applyBorder="1" applyAlignment="1">
      <alignment horizontal="left" vertical="center" wrapText="1" shrinkToFit="1"/>
    </xf>
    <xf numFmtId="167" fontId="27" fillId="24" borderId="53" xfId="57" applyNumberFormat="1" applyFont="1" applyFill="1" applyBorder="1" applyAlignment="1">
      <alignment horizontal="right" vertical="center"/>
    </xf>
    <xf numFmtId="167" fontId="27" fillId="24" borderId="60" xfId="57" applyNumberFormat="1" applyFont="1" applyFill="1" applyBorder="1" applyAlignment="1">
      <alignment horizontal="right" vertical="center"/>
    </xf>
    <xf numFmtId="167" fontId="27" fillId="24" borderId="61" xfId="57" applyNumberFormat="1" applyFont="1" applyFill="1" applyBorder="1" applyAlignment="1">
      <alignment horizontal="right" vertical="center"/>
    </xf>
    <xf numFmtId="167" fontId="27" fillId="0" borderId="59" xfId="57" applyNumberFormat="1" applyFont="1" applyBorder="1" applyAlignment="1">
      <alignment horizontal="left" vertical="center" wrapText="1" shrinkToFit="1"/>
    </xf>
    <xf numFmtId="167" fontId="27" fillId="0" borderId="59" xfId="57" applyNumberFormat="1" applyFont="1" applyBorder="1" applyAlignment="1">
      <alignment horizontal="center" vertical="center"/>
    </xf>
    <xf numFmtId="167" fontId="27" fillId="0" borderId="55" xfId="57" applyNumberFormat="1" applyFont="1" applyBorder="1" applyAlignment="1">
      <alignment horizontal="center" vertical="center"/>
    </xf>
    <xf numFmtId="167" fontId="27" fillId="0" borderId="13" xfId="57" applyNumberFormat="1" applyFont="1" applyBorder="1" applyAlignment="1">
      <alignment horizontal="center" vertical="center"/>
    </xf>
    <xf numFmtId="1" fontId="27" fillId="26" borderId="59" xfId="57" applyNumberFormat="1" applyFont="1" applyFill="1" applyBorder="1" applyAlignment="1">
      <alignment horizontal="center" vertical="center"/>
    </xf>
    <xf numFmtId="1" fontId="27" fillId="26" borderId="31" xfId="57" applyNumberFormat="1" applyFont="1" applyFill="1" applyBorder="1" applyAlignment="1">
      <alignment horizontal="center" vertical="center"/>
    </xf>
    <xf numFmtId="167" fontId="27" fillId="26" borderId="59" xfId="57" applyNumberFormat="1" applyFont="1" applyFill="1" applyBorder="1" applyAlignment="1">
      <alignment horizontal="center" vertical="center"/>
    </xf>
    <xf numFmtId="167" fontId="27" fillId="26" borderId="55" xfId="57" applyNumberFormat="1" applyFont="1" applyFill="1" applyBorder="1" applyAlignment="1">
      <alignment horizontal="center" vertical="center"/>
    </xf>
    <xf numFmtId="167" fontId="27" fillId="26" borderId="23" xfId="57" applyNumberFormat="1" applyFont="1" applyFill="1" applyBorder="1" applyAlignment="1">
      <alignment horizontal="center" vertical="center"/>
    </xf>
    <xf numFmtId="167" fontId="27" fillId="26" borderId="71" xfId="57" applyNumberFormat="1" applyFont="1" applyFill="1" applyBorder="1" applyAlignment="1">
      <alignment horizontal="center" vertical="center"/>
    </xf>
    <xf numFmtId="167" fontId="27" fillId="0" borderId="24" xfId="57" applyNumberFormat="1" applyFont="1" applyFill="1" applyBorder="1" applyAlignment="1">
      <alignment horizontal="left" vertical="center" wrapText="1" shrinkToFit="1"/>
    </xf>
    <xf numFmtId="167" fontId="27" fillId="0" borderId="59" xfId="57" applyNumberFormat="1" applyFont="1" applyFill="1" applyBorder="1" applyAlignment="1">
      <alignment horizontal="left" vertical="center" wrapText="1" shrinkToFit="1"/>
    </xf>
    <xf numFmtId="167" fontId="27" fillId="0" borderId="31" xfId="57" applyNumberFormat="1" applyFont="1" applyFill="1" applyBorder="1" applyAlignment="1">
      <alignment horizontal="left" vertical="center" wrapText="1" shrinkToFit="1"/>
    </xf>
    <xf numFmtId="167" fontId="27" fillId="28" borderId="38" xfId="57" applyNumberFormat="1" applyFont="1" applyFill="1" applyBorder="1" applyAlignment="1">
      <alignment horizontal="right" vertical="center"/>
    </xf>
    <xf numFmtId="167" fontId="27" fillId="28" borderId="39" xfId="57" applyNumberFormat="1" applyFont="1" applyFill="1" applyBorder="1" applyAlignment="1">
      <alignment horizontal="right" vertical="center"/>
    </xf>
    <xf numFmtId="167" fontId="27" fillId="28" borderId="40" xfId="57" applyNumberFormat="1" applyFont="1" applyFill="1" applyBorder="1" applyAlignment="1">
      <alignment horizontal="right" vertical="center"/>
    </xf>
    <xf numFmtId="167" fontId="27" fillId="25" borderId="38" xfId="57" applyNumberFormat="1" applyFont="1" applyFill="1" applyBorder="1" applyAlignment="1">
      <alignment horizontal="right" vertical="center"/>
    </xf>
    <xf numFmtId="167" fontId="27" fillId="25" borderId="39" xfId="57" applyNumberFormat="1" applyFont="1" applyFill="1" applyBorder="1" applyAlignment="1">
      <alignment horizontal="right" vertical="center"/>
    </xf>
    <xf numFmtId="167" fontId="27" fillId="25" borderId="40" xfId="57" applyNumberFormat="1" applyFont="1" applyFill="1" applyBorder="1" applyAlignment="1">
      <alignment horizontal="right" vertical="center"/>
    </xf>
    <xf numFmtId="167" fontId="26" fillId="27" borderId="53" xfId="57" applyNumberFormat="1" applyFont="1" applyFill="1" applyBorder="1" applyAlignment="1">
      <alignment horizontal="right" vertical="center"/>
    </xf>
    <xf numFmtId="167" fontId="26" fillId="27" borderId="60" xfId="57" applyNumberFormat="1" applyFont="1" applyFill="1" applyBorder="1" applyAlignment="1">
      <alignment horizontal="right" vertical="center"/>
    </xf>
    <xf numFmtId="167" fontId="26" fillId="27" borderId="61" xfId="57" applyNumberFormat="1" applyFont="1" applyFill="1" applyBorder="1" applyAlignment="1">
      <alignment horizontal="right" vertical="center"/>
    </xf>
    <xf numFmtId="167" fontId="27" fillId="0" borderId="25" xfId="57" applyNumberFormat="1" applyFont="1" applyBorder="1" applyAlignment="1">
      <alignment horizontal="left" vertical="center" wrapText="1"/>
    </xf>
    <xf numFmtId="167" fontId="27" fillId="0" borderId="26" xfId="57" applyNumberFormat="1" applyFont="1" applyBorder="1" applyAlignment="1">
      <alignment horizontal="left" vertical="center" wrapText="1"/>
    </xf>
    <xf numFmtId="167" fontId="27" fillId="0" borderId="55" xfId="57" applyNumberFormat="1" applyFont="1" applyFill="1" applyBorder="1" applyAlignment="1">
      <alignment horizontal="left" vertical="center" wrapText="1"/>
    </xf>
    <xf numFmtId="167" fontId="27" fillId="0" borderId="13" xfId="57" applyNumberFormat="1" applyFont="1" applyFill="1" applyBorder="1" applyAlignment="1">
      <alignment horizontal="center" vertical="center"/>
    </xf>
    <xf numFmtId="167" fontId="27" fillId="0" borderId="55" xfId="57" applyNumberFormat="1" applyFont="1" applyFill="1" applyBorder="1" applyAlignment="1">
      <alignment horizontal="center" vertical="center"/>
    </xf>
    <xf numFmtId="167" fontId="27" fillId="0" borderId="11" xfId="57" applyNumberFormat="1" applyFont="1" applyBorder="1" applyAlignment="1">
      <alignment horizontal="left" vertical="center" wrapText="1"/>
    </xf>
    <xf numFmtId="167" fontId="27" fillId="0" borderId="28" xfId="57" applyNumberFormat="1" applyFont="1" applyBorder="1" applyAlignment="1">
      <alignment horizontal="left" vertical="center" wrapText="1"/>
    </xf>
    <xf numFmtId="167" fontId="26" fillId="0" borderId="14" xfId="57" applyNumberFormat="1" applyFont="1" applyBorder="1" applyAlignment="1">
      <alignment horizontal="left" vertical="center" wrapText="1"/>
    </xf>
    <xf numFmtId="167" fontId="26" fillId="0" borderId="28" xfId="57" applyNumberFormat="1" applyFont="1" applyBorder="1" applyAlignment="1">
      <alignment horizontal="left" vertical="center" wrapText="1"/>
    </xf>
    <xf numFmtId="1" fontId="25" fillId="0" borderId="0" xfId="57" applyNumberFormat="1" applyFont="1" applyAlignment="1">
      <alignment horizontal="center"/>
    </xf>
    <xf numFmtId="167" fontId="27" fillId="0" borderId="70" xfId="57" applyNumberFormat="1" applyFont="1" applyBorder="1" applyAlignment="1">
      <alignment horizontal="left" vertical="center" wrapText="1"/>
    </xf>
    <xf numFmtId="167" fontId="27" fillId="0" borderId="71" xfId="57" applyNumberFormat="1" applyFont="1" applyBorder="1" applyAlignment="1">
      <alignment horizontal="left" vertical="center" wrapText="1"/>
    </xf>
    <xf numFmtId="167" fontId="26" fillId="0" borderId="63" xfId="57" applyNumberFormat="1" applyFont="1" applyBorder="1" applyAlignment="1">
      <alignment horizontal="right" vertical="center"/>
    </xf>
    <xf numFmtId="167" fontId="26" fillId="0" borderId="64" xfId="57" applyNumberFormat="1" applyFont="1" applyBorder="1" applyAlignment="1">
      <alignment horizontal="right" vertical="center"/>
    </xf>
    <xf numFmtId="167" fontId="26" fillId="0" borderId="51" xfId="57" applyNumberFormat="1" applyFont="1" applyBorder="1" applyAlignment="1">
      <alignment horizontal="right" vertical="center"/>
    </xf>
    <xf numFmtId="0" fontId="36" fillId="0" borderId="18" xfId="57" applyFont="1" applyBorder="1" applyAlignment="1">
      <alignment vertical="center" wrapText="1"/>
    </xf>
    <xf numFmtId="0" fontId="36" fillId="0" borderId="36" xfId="57" applyFont="1" applyBorder="1" applyAlignment="1">
      <alignment vertical="center" wrapText="1"/>
    </xf>
    <xf numFmtId="0" fontId="36" fillId="0" borderId="18" xfId="57" applyFont="1" applyBorder="1" applyAlignment="1">
      <alignment horizontal="left" vertical="center" wrapText="1"/>
    </xf>
    <xf numFmtId="0" fontId="36" fillId="0" borderId="36" xfId="57" applyFont="1" applyBorder="1" applyAlignment="1">
      <alignment horizontal="left" vertical="center" wrapText="1"/>
    </xf>
    <xf numFmtId="0" fontId="27" fillId="0" borderId="18" xfId="52" applyFont="1" applyBorder="1" applyAlignment="1">
      <alignment horizontal="left" vertical="center" wrapText="1"/>
    </xf>
    <xf numFmtId="0" fontId="27" fillId="0" borderId="36" xfId="52" applyFont="1" applyBorder="1" applyAlignment="1">
      <alignment horizontal="left" vertical="center" wrapText="1"/>
    </xf>
    <xf numFmtId="0" fontId="27" fillId="0" borderId="47" xfId="52" applyFont="1" applyBorder="1" applyAlignment="1">
      <alignment horizontal="left" vertical="center" wrapText="1"/>
    </xf>
    <xf numFmtId="0" fontId="26" fillId="0" borderId="18" xfId="52" applyFont="1" applyBorder="1" applyAlignment="1">
      <alignment horizontal="left" vertical="center" wrapText="1"/>
    </xf>
    <xf numFmtId="0" fontId="26" fillId="0" borderId="36" xfId="52" applyFont="1" applyBorder="1" applyAlignment="1">
      <alignment horizontal="left" vertical="center" wrapText="1"/>
    </xf>
    <xf numFmtId="0" fontId="26" fillId="0" borderId="47" xfId="52" applyFont="1" applyBorder="1" applyAlignment="1">
      <alignment horizontal="left" vertical="center" wrapText="1"/>
    </xf>
    <xf numFmtId="0" fontId="26" fillId="0" borderId="38" xfId="52" applyFont="1" applyBorder="1" applyAlignment="1">
      <alignment horizontal="right" vertical="center" wrapText="1"/>
    </xf>
    <xf numFmtId="0" fontId="26" fillId="0" borderId="39" xfId="52" applyFont="1" applyBorder="1" applyAlignment="1">
      <alignment horizontal="right" vertical="center" wrapText="1"/>
    </xf>
    <xf numFmtId="0" fontId="26" fillId="0" borderId="40" xfId="52" applyFont="1" applyBorder="1" applyAlignment="1">
      <alignment horizontal="right" vertical="center" wrapText="1"/>
    </xf>
    <xf numFmtId="0" fontId="25" fillId="0" borderId="60" xfId="52" applyFont="1" applyBorder="1" applyAlignment="1">
      <alignment horizontal="left"/>
    </xf>
    <xf numFmtId="0" fontId="29" fillId="0" borderId="0" xfId="52" applyFont="1" applyAlignment="1">
      <alignment horizontal="right"/>
    </xf>
    <xf numFmtId="0" fontId="27" fillId="0" borderId="13" xfId="52" applyFont="1" applyBorder="1" applyAlignment="1">
      <alignment horizontal="center" vertical="center" wrapText="1"/>
    </xf>
    <xf numFmtId="0" fontId="27" fillId="0" borderId="31" xfId="52" applyFont="1" applyBorder="1" applyAlignment="1">
      <alignment horizontal="center" vertical="center" wrapText="1"/>
    </xf>
    <xf numFmtId="0" fontId="27" fillId="24" borderId="38" xfId="52" applyFont="1" applyFill="1" applyBorder="1" applyAlignment="1">
      <alignment horizontal="right" vertical="center" wrapText="1"/>
    </xf>
    <xf numFmtId="0" fontId="27" fillId="24" borderId="39" xfId="52" applyFont="1" applyFill="1" applyBorder="1" applyAlignment="1">
      <alignment horizontal="right" vertical="center" wrapText="1"/>
    </xf>
    <xf numFmtId="0" fontId="27" fillId="24" borderId="40" xfId="52" applyFont="1" applyFill="1" applyBorder="1" applyAlignment="1">
      <alignment horizontal="right" vertical="center" wrapText="1"/>
    </xf>
    <xf numFmtId="0" fontId="27" fillId="25" borderId="38" xfId="52" applyFont="1" applyFill="1" applyBorder="1" applyAlignment="1">
      <alignment horizontal="right" vertical="center" wrapText="1"/>
    </xf>
    <xf numFmtId="0" fontId="27" fillId="25" borderId="39" xfId="52" applyFont="1" applyFill="1" applyBorder="1" applyAlignment="1">
      <alignment horizontal="right" vertical="center" wrapText="1"/>
    </xf>
    <xf numFmtId="0" fontId="27" fillId="25" borderId="40" xfId="52" applyFont="1" applyFill="1" applyBorder="1" applyAlignment="1">
      <alignment horizontal="right" vertical="center" wrapText="1"/>
    </xf>
    <xf numFmtId="0" fontId="26" fillId="27" borderId="38" xfId="52" applyFont="1" applyFill="1" applyBorder="1" applyAlignment="1">
      <alignment horizontal="right" vertical="center" wrapText="1"/>
    </xf>
    <xf numFmtId="0" fontId="26" fillId="27" borderId="39" xfId="52" applyFont="1" applyFill="1" applyBorder="1" applyAlignment="1">
      <alignment horizontal="right" vertical="center" wrapText="1"/>
    </xf>
    <xf numFmtId="0" fontId="26" fillId="27" borderId="40" xfId="52" applyFont="1" applyFill="1" applyBorder="1" applyAlignment="1">
      <alignment horizontal="right" vertical="center" wrapText="1"/>
    </xf>
    <xf numFmtId="0" fontId="27" fillId="0" borderId="81" xfId="52" applyFont="1" applyBorder="1" applyAlignment="1">
      <alignment horizontal="left" vertical="center" wrapText="1"/>
    </xf>
    <xf numFmtId="0" fontId="27" fillId="0" borderId="84" xfId="52" applyFont="1" applyBorder="1" applyAlignment="1">
      <alignment horizontal="left" vertical="center" wrapText="1"/>
    </xf>
    <xf numFmtId="0" fontId="27" fillId="0" borderId="79" xfId="52" applyFont="1" applyBorder="1" applyAlignment="1">
      <alignment horizontal="left" vertical="center" wrapText="1"/>
    </xf>
    <xf numFmtId="0" fontId="27" fillId="33" borderId="58" xfId="52" applyFont="1" applyFill="1" applyBorder="1" applyAlignment="1">
      <alignment horizontal="center" vertical="center" wrapText="1"/>
    </xf>
    <xf numFmtId="0" fontId="27" fillId="33" borderId="120" xfId="52" applyFont="1" applyFill="1" applyBorder="1" applyAlignment="1">
      <alignment horizontal="center" vertical="center" wrapText="1"/>
    </xf>
    <xf numFmtId="0" fontId="27" fillId="34" borderId="59" xfId="52" applyFont="1" applyFill="1" applyBorder="1" applyAlignment="1">
      <alignment horizontal="center" vertical="center" wrapText="1"/>
    </xf>
    <xf numFmtId="0" fontId="27" fillId="34" borderId="109" xfId="52" applyFont="1" applyFill="1" applyBorder="1" applyAlignment="1">
      <alignment horizontal="center" vertical="center" wrapText="1"/>
    </xf>
    <xf numFmtId="0" fontId="27" fillId="31" borderId="31" xfId="52" applyFont="1" applyFill="1" applyBorder="1" applyAlignment="1">
      <alignment horizontal="center" vertical="center" wrapText="1"/>
    </xf>
    <xf numFmtId="0" fontId="27" fillId="31" borderId="59" xfId="52" applyFont="1" applyFill="1" applyBorder="1" applyAlignment="1">
      <alignment horizontal="center" vertical="center" wrapText="1"/>
    </xf>
    <xf numFmtId="0" fontId="27" fillId="31" borderId="110" xfId="52" applyFont="1" applyFill="1" applyBorder="1" applyAlignment="1">
      <alignment horizontal="center" vertical="center" wrapText="1"/>
    </xf>
    <xf numFmtId="0" fontId="27" fillId="0" borderId="31" xfId="52" applyFont="1" applyBorder="1" applyAlignment="1">
      <alignment horizontal="left" vertical="center" wrapText="1"/>
    </xf>
    <xf numFmtId="0" fontId="27" fillId="0" borderId="59" xfId="52" applyFont="1" applyBorder="1" applyAlignment="1">
      <alignment horizontal="left" vertical="center" wrapText="1"/>
    </xf>
    <xf numFmtId="0" fontId="27" fillId="0" borderId="110" xfId="52" applyFont="1" applyBorder="1" applyAlignment="1">
      <alignment horizontal="left" vertical="center" wrapText="1"/>
    </xf>
    <xf numFmtId="0" fontId="27" fillId="31" borderId="52" xfId="52" applyFont="1" applyFill="1" applyBorder="1" applyAlignment="1">
      <alignment horizontal="center" vertical="center" wrapText="1"/>
    </xf>
    <xf numFmtId="0" fontId="8" fillId="0" borderId="37" xfId="52" applyBorder="1" applyAlignment="1">
      <alignment horizontal="center" vertical="center" wrapText="1"/>
    </xf>
    <xf numFmtId="0" fontId="27" fillId="32" borderId="38" xfId="52" applyFont="1" applyFill="1" applyBorder="1" applyAlignment="1">
      <alignment horizontal="right" vertical="center" wrapText="1"/>
    </xf>
    <xf numFmtId="0" fontId="27" fillId="32" borderId="39" xfId="52" applyFont="1" applyFill="1" applyBorder="1" applyAlignment="1">
      <alignment horizontal="right" vertical="center" wrapText="1"/>
    </xf>
    <xf numFmtId="0" fontId="27" fillId="32" borderId="40" xfId="52" applyFont="1" applyFill="1" applyBorder="1" applyAlignment="1">
      <alignment horizontal="right" vertical="center" wrapText="1"/>
    </xf>
    <xf numFmtId="0" fontId="27" fillId="24" borderId="38" xfId="52" applyFont="1" applyFill="1" applyBorder="1" applyAlignment="1">
      <alignment horizontal="left" vertical="center"/>
    </xf>
    <xf numFmtId="0" fontId="27" fillId="24" borderId="39" xfId="52" applyFont="1" applyFill="1" applyBorder="1" applyAlignment="1">
      <alignment horizontal="left" vertical="center"/>
    </xf>
    <xf numFmtId="0" fontId="27" fillId="24" borderId="40" xfId="52" applyFont="1" applyFill="1" applyBorder="1" applyAlignment="1">
      <alignment horizontal="left" vertical="center"/>
    </xf>
    <xf numFmtId="0" fontId="27" fillId="25" borderId="16" xfId="52" applyFont="1" applyFill="1" applyBorder="1" applyAlignment="1">
      <alignment horizontal="center" vertical="center" wrapText="1"/>
    </xf>
    <xf numFmtId="0" fontId="27" fillId="25" borderId="11" xfId="52" applyFont="1" applyFill="1" applyBorder="1" applyAlignment="1">
      <alignment horizontal="center" vertical="center" wrapText="1"/>
    </xf>
    <xf numFmtId="0" fontId="27" fillId="24" borderId="31" xfId="52" applyFont="1" applyFill="1" applyBorder="1" applyAlignment="1">
      <alignment horizontal="center" vertical="center" wrapText="1"/>
    </xf>
    <xf numFmtId="0" fontId="27" fillId="24" borderId="14" xfId="52" applyFont="1" applyFill="1" applyBorder="1" applyAlignment="1">
      <alignment horizontal="center" vertical="center" wrapText="1"/>
    </xf>
    <xf numFmtId="0" fontId="27" fillId="0" borderId="14" xfId="52" applyFont="1" applyBorder="1" applyAlignment="1">
      <alignment horizontal="center" vertical="center" wrapText="1"/>
    </xf>
    <xf numFmtId="0" fontId="27" fillId="0" borderId="14" xfId="52" applyFont="1" applyBorder="1" applyAlignment="1">
      <alignment horizontal="left" vertical="center" wrapText="1"/>
    </xf>
    <xf numFmtId="0" fontId="27" fillId="0" borderId="59" xfId="52" applyFont="1" applyBorder="1" applyAlignment="1">
      <alignment horizontal="center" vertical="center" wrapText="1"/>
    </xf>
    <xf numFmtId="0" fontId="27" fillId="0" borderId="29" xfId="52" applyFont="1" applyBorder="1" applyAlignment="1">
      <alignment horizontal="center" vertical="center" wrapText="1"/>
    </xf>
    <xf numFmtId="0" fontId="27" fillId="0" borderId="24" xfId="52" applyFont="1" applyBorder="1" applyAlignment="1">
      <alignment horizontal="center" vertical="center" wrapText="1"/>
    </xf>
    <xf numFmtId="0" fontId="27" fillId="28" borderId="38" xfId="52" applyFont="1" applyFill="1" applyBorder="1" applyAlignment="1">
      <alignment horizontal="right" vertical="center" wrapText="1"/>
    </xf>
    <xf numFmtId="0" fontId="27" fillId="28" borderId="39" xfId="52" applyFont="1" applyFill="1" applyBorder="1" applyAlignment="1">
      <alignment horizontal="right" vertical="center" wrapText="1"/>
    </xf>
    <xf numFmtId="0" fontId="27" fillId="28" borderId="40" xfId="52" applyFont="1" applyFill="1" applyBorder="1" applyAlignment="1">
      <alignment horizontal="right" vertical="center" wrapText="1"/>
    </xf>
    <xf numFmtId="0" fontId="27" fillId="25" borderId="11" xfId="52" applyFont="1" applyFill="1" applyBorder="1" applyAlignment="1">
      <alignment horizontal="center" vertical="center"/>
    </xf>
    <xf numFmtId="0" fontId="27" fillId="24" borderId="14" xfId="52" applyFont="1" applyFill="1" applyBorder="1" applyAlignment="1">
      <alignment horizontal="center" vertical="center"/>
    </xf>
    <xf numFmtId="0" fontId="27" fillId="0" borderId="31" xfId="52" applyFont="1" applyBorder="1" applyAlignment="1">
      <alignment horizontal="center" vertical="center"/>
    </xf>
    <xf numFmtId="0" fontId="27" fillId="0" borderId="14" xfId="52" applyFont="1" applyBorder="1" applyAlignment="1">
      <alignment horizontal="center" vertical="center"/>
    </xf>
    <xf numFmtId="0" fontId="27" fillId="0" borderId="19" xfId="52" applyFont="1" applyBorder="1" applyAlignment="1">
      <alignment horizontal="center" vertical="center"/>
    </xf>
    <xf numFmtId="0" fontId="27" fillId="0" borderId="28" xfId="52" applyFont="1" applyBorder="1" applyAlignment="1">
      <alignment horizontal="center" vertical="center"/>
    </xf>
    <xf numFmtId="0" fontId="27" fillId="25" borderId="15" xfId="52" applyFont="1" applyFill="1" applyBorder="1" applyAlignment="1">
      <alignment horizontal="center" vertical="center" wrapText="1"/>
    </xf>
    <xf numFmtId="0" fontId="27" fillId="24" borderId="45" xfId="52" applyFont="1" applyFill="1" applyBorder="1" applyAlignment="1">
      <alignment horizontal="center" vertical="center" wrapText="1"/>
    </xf>
    <xf numFmtId="0" fontId="27" fillId="24" borderId="10" xfId="52" applyFont="1" applyFill="1" applyBorder="1" applyAlignment="1">
      <alignment horizontal="center" vertical="center" wrapText="1"/>
    </xf>
    <xf numFmtId="0" fontId="27" fillId="0" borderId="103" xfId="52" applyFont="1" applyBorder="1" applyAlignment="1">
      <alignment horizontal="center" vertical="center" wrapText="1"/>
    </xf>
    <xf numFmtId="0" fontId="27" fillId="0" borderId="105" xfId="52" applyFont="1" applyBorder="1" applyAlignment="1">
      <alignment horizontal="center" vertical="center" wrapText="1"/>
    </xf>
    <xf numFmtId="0" fontId="27" fillId="0" borderId="98" xfId="52" applyFont="1" applyFill="1" applyBorder="1" applyAlignment="1">
      <alignment horizontal="left" vertical="center" wrapText="1"/>
    </xf>
    <xf numFmtId="0" fontId="27" fillId="0" borderId="106" xfId="52" applyFont="1" applyFill="1" applyBorder="1" applyAlignment="1">
      <alignment horizontal="left" vertical="center" wrapText="1"/>
    </xf>
    <xf numFmtId="0" fontId="27" fillId="0" borderId="104" xfId="52" quotePrefix="1" applyFont="1" applyBorder="1" applyAlignment="1">
      <alignment horizontal="center" vertical="center" wrapText="1"/>
    </xf>
    <xf numFmtId="0" fontId="27" fillId="0" borderId="107" xfId="52" quotePrefix="1" applyFont="1" applyBorder="1" applyAlignment="1">
      <alignment horizontal="center" vertical="center" wrapText="1"/>
    </xf>
    <xf numFmtId="0" fontId="27" fillId="0" borderId="60" xfId="52" applyFont="1" applyBorder="1" applyAlignment="1">
      <alignment horizontal="center" vertical="center" wrapText="1"/>
    </xf>
    <xf numFmtId="0" fontId="27" fillId="0" borderId="0" xfId="52" applyFont="1" applyBorder="1" applyAlignment="1">
      <alignment horizontal="center" vertical="center" wrapText="1"/>
    </xf>
    <xf numFmtId="0" fontId="27" fillId="0" borderId="64" xfId="52" applyFont="1" applyBorder="1" applyAlignment="1">
      <alignment horizontal="center" vertical="center" wrapText="1"/>
    </xf>
    <xf numFmtId="0" fontId="27" fillId="25" borderId="58" xfId="52" applyFont="1" applyFill="1" applyBorder="1" applyAlignment="1">
      <alignment horizontal="center" vertical="center" wrapText="1"/>
    </xf>
    <xf numFmtId="0" fontId="27" fillId="24" borderId="24" xfId="52" applyFont="1" applyFill="1" applyBorder="1" applyAlignment="1">
      <alignment horizontal="center" vertical="center" wrapText="1"/>
    </xf>
    <xf numFmtId="0" fontId="27" fillId="24" borderId="59" xfId="52" applyFont="1" applyFill="1" applyBorder="1" applyAlignment="1">
      <alignment horizontal="center" vertical="center" wrapText="1"/>
    </xf>
    <xf numFmtId="0" fontId="27" fillId="0" borderId="24" xfId="52" applyFont="1" applyBorder="1" applyAlignment="1">
      <alignment horizontal="left" vertical="center" wrapText="1"/>
    </xf>
    <xf numFmtId="0" fontId="27" fillId="0" borderId="45" xfId="52" quotePrefix="1" applyFont="1" applyBorder="1" applyAlignment="1">
      <alignment horizontal="center" vertical="center" wrapText="1"/>
    </xf>
    <xf numFmtId="0" fontId="27" fillId="0" borderId="62" xfId="52" applyFont="1" applyBorder="1" applyAlignment="1">
      <alignment horizontal="center" vertical="center" wrapText="1"/>
    </xf>
    <xf numFmtId="0" fontId="27" fillId="33" borderId="11" xfId="52" applyFont="1" applyFill="1" applyBorder="1" applyAlignment="1">
      <alignment horizontal="center" vertical="center" wrapText="1"/>
    </xf>
    <xf numFmtId="0" fontId="27" fillId="34" borderId="14" xfId="52" applyFont="1" applyFill="1" applyBorder="1" applyAlignment="1">
      <alignment horizontal="center" vertical="center" wrapText="1"/>
    </xf>
    <xf numFmtId="0" fontId="27" fillId="0" borderId="14" xfId="52" applyFont="1" applyFill="1" applyBorder="1" applyAlignment="1">
      <alignment horizontal="left" vertical="center" wrapText="1"/>
    </xf>
    <xf numFmtId="0" fontId="27" fillId="0" borderId="17" xfId="52" quotePrefix="1" applyFont="1" applyBorder="1" applyAlignment="1">
      <alignment horizontal="center" vertical="center" wrapText="1"/>
    </xf>
    <xf numFmtId="0" fontId="27" fillId="0" borderId="17" xfId="52" applyFont="1" applyBorder="1" applyAlignment="1">
      <alignment horizontal="center" vertical="center" wrapText="1"/>
    </xf>
    <xf numFmtId="0" fontId="27" fillId="0" borderId="55" xfId="52" applyFont="1" applyBorder="1" applyAlignment="1">
      <alignment horizontal="center" vertical="center" wrapText="1"/>
    </xf>
    <xf numFmtId="0" fontId="46" fillId="0" borderId="59" xfId="52" applyFont="1" applyBorder="1" applyAlignment="1">
      <alignment horizontal="left" vertical="center" wrapText="1"/>
    </xf>
    <xf numFmtId="0" fontId="46" fillId="0" borderId="31" xfId="52" applyFont="1" applyBorder="1" applyAlignment="1">
      <alignment horizontal="left" vertical="center" wrapText="1"/>
    </xf>
    <xf numFmtId="0" fontId="27" fillId="0" borderId="45" xfId="52" applyFont="1" applyBorder="1" applyAlignment="1">
      <alignment horizontal="center" vertical="center" wrapText="1"/>
    </xf>
    <xf numFmtId="0" fontId="8" fillId="0" borderId="10" xfId="52" applyBorder="1" applyAlignment="1">
      <alignment horizontal="center" vertical="center" wrapText="1"/>
    </xf>
    <xf numFmtId="0" fontId="27" fillId="0" borderId="24" xfId="52" applyFont="1" applyFill="1" applyBorder="1" applyAlignment="1">
      <alignment horizontal="left" vertical="center" wrapText="1"/>
    </xf>
    <xf numFmtId="0" fontId="27" fillId="0" borderId="59" xfId="52" applyFont="1" applyFill="1" applyBorder="1" applyAlignment="1">
      <alignment horizontal="left" vertical="center" wrapText="1"/>
    </xf>
    <xf numFmtId="0" fontId="27" fillId="0" borderId="31" xfId="52" applyFont="1" applyFill="1" applyBorder="1" applyAlignment="1">
      <alignment horizontal="left" vertical="center" wrapText="1"/>
    </xf>
    <xf numFmtId="0" fontId="27" fillId="24" borderId="53" xfId="52" applyFont="1" applyFill="1" applyBorder="1" applyAlignment="1">
      <alignment horizontal="right" vertical="center" wrapText="1"/>
    </xf>
    <xf numFmtId="0" fontId="27" fillId="24" borderId="60" xfId="52" applyFont="1" applyFill="1" applyBorder="1" applyAlignment="1">
      <alignment horizontal="right" vertical="center" wrapText="1"/>
    </xf>
    <xf numFmtId="0" fontId="27" fillId="24" borderId="0" xfId="52" applyFont="1" applyFill="1" applyBorder="1" applyAlignment="1">
      <alignment horizontal="right" vertical="center" wrapText="1"/>
    </xf>
    <xf numFmtId="0" fontId="27" fillId="24" borderId="76" xfId="52" applyFont="1" applyFill="1" applyBorder="1" applyAlignment="1">
      <alignment horizontal="right" vertical="center" wrapText="1"/>
    </xf>
    <xf numFmtId="0" fontId="27" fillId="25" borderId="38" xfId="52" applyFont="1" applyFill="1" applyBorder="1" applyAlignment="1">
      <alignment horizontal="left" vertical="center"/>
    </xf>
    <xf numFmtId="0" fontId="27" fillId="25" borderId="39" xfId="52" applyFont="1" applyFill="1" applyBorder="1" applyAlignment="1">
      <alignment horizontal="left" vertical="center"/>
    </xf>
    <xf numFmtId="0" fontId="27" fillId="25" borderId="40" xfId="52" applyFont="1" applyFill="1" applyBorder="1" applyAlignment="1">
      <alignment horizontal="left" vertical="center"/>
    </xf>
    <xf numFmtId="0" fontId="27" fillId="0" borderId="13" xfId="52" applyFont="1" applyBorder="1" applyAlignment="1">
      <alignment horizontal="left" vertical="center" wrapText="1"/>
    </xf>
    <xf numFmtId="0" fontId="8" fillId="0" borderId="31" xfId="52" applyBorder="1" applyAlignment="1">
      <alignment horizontal="left" vertical="center" wrapText="1"/>
    </xf>
    <xf numFmtId="0" fontId="27" fillId="24" borderId="61" xfId="52" applyFont="1" applyFill="1" applyBorder="1" applyAlignment="1">
      <alignment horizontal="right" vertical="center" wrapText="1"/>
    </xf>
    <xf numFmtId="0" fontId="8" fillId="0" borderId="39" xfId="52" applyBorder="1" applyAlignment="1"/>
    <xf numFmtId="0" fontId="8" fillId="0" borderId="40" xfId="52" applyBorder="1" applyAlignment="1"/>
    <xf numFmtId="0" fontId="27" fillId="31" borderId="59" xfId="52" applyFont="1" applyFill="1" applyBorder="1" applyAlignment="1">
      <alignment horizontal="left" vertical="center" wrapText="1"/>
    </xf>
    <xf numFmtId="49" fontId="27" fillId="0" borderId="62" xfId="52" applyNumberFormat="1" applyFont="1" applyBorder="1" applyAlignment="1">
      <alignment horizontal="center" vertical="center" wrapText="1"/>
    </xf>
    <xf numFmtId="0" fontId="27" fillId="24" borderId="63" xfId="52" applyFont="1" applyFill="1" applyBorder="1" applyAlignment="1">
      <alignment horizontal="right" vertical="center" wrapText="1"/>
    </xf>
    <xf numFmtId="0" fontId="27" fillId="24" borderId="64" xfId="52" applyFont="1" applyFill="1" applyBorder="1" applyAlignment="1">
      <alignment horizontal="right" vertical="center" wrapText="1"/>
    </xf>
    <xf numFmtId="0" fontId="27" fillId="24" borderId="51" xfId="52" applyFont="1" applyFill="1" applyBorder="1" applyAlignment="1">
      <alignment horizontal="right" vertical="center" wrapText="1"/>
    </xf>
    <xf numFmtId="0" fontId="27" fillId="28" borderId="91" xfId="52" applyFont="1" applyFill="1" applyBorder="1" applyAlignment="1">
      <alignment horizontal="right" vertical="center" wrapText="1"/>
    </xf>
    <xf numFmtId="0" fontId="27" fillId="28" borderId="92" xfId="52" applyFont="1" applyFill="1" applyBorder="1" applyAlignment="1">
      <alignment horizontal="right" vertical="center" wrapText="1"/>
    </xf>
    <xf numFmtId="0" fontId="27" fillId="28" borderId="93" xfId="52" applyFont="1" applyFill="1" applyBorder="1" applyAlignment="1">
      <alignment horizontal="right" vertical="center" wrapText="1"/>
    </xf>
    <xf numFmtId="0" fontId="27" fillId="0" borderId="55" xfId="52" applyFont="1" applyFill="1" applyBorder="1" applyAlignment="1">
      <alignment horizontal="left" vertical="center" wrapText="1"/>
    </xf>
    <xf numFmtId="0" fontId="27" fillId="0" borderId="45" xfId="52" applyFont="1" applyBorder="1" applyAlignment="1">
      <alignment horizontal="center" vertical="center"/>
    </xf>
    <xf numFmtId="0" fontId="27" fillId="0" borderId="100" xfId="52" applyFont="1" applyBorder="1" applyAlignment="1">
      <alignment horizontal="center" vertical="center"/>
    </xf>
    <xf numFmtId="0" fontId="27" fillId="0" borderId="10" xfId="52" applyFont="1" applyBorder="1" applyAlignment="1">
      <alignment horizontal="center" vertical="center" wrapText="1"/>
    </xf>
    <xf numFmtId="0" fontId="27" fillId="0" borderId="90" xfId="52" applyFont="1" applyBorder="1" applyAlignment="1">
      <alignment horizontal="center" vertical="center" wrapText="1"/>
    </xf>
    <xf numFmtId="49" fontId="27" fillId="0" borderId="24" xfId="52" quotePrefix="1" applyNumberFormat="1" applyFont="1" applyBorder="1" applyAlignment="1">
      <alignment horizontal="center" vertical="center" wrapText="1"/>
    </xf>
    <xf numFmtId="49" fontId="27" fillId="0" borderId="59" xfId="52" quotePrefix="1" applyNumberFormat="1" applyFont="1" applyBorder="1" applyAlignment="1">
      <alignment horizontal="center" vertical="center" wrapText="1"/>
    </xf>
    <xf numFmtId="49" fontId="27" fillId="0" borderId="31" xfId="52" quotePrefix="1" applyNumberFormat="1" applyFont="1" applyBorder="1" applyAlignment="1">
      <alignment horizontal="center" vertical="center" wrapText="1"/>
    </xf>
    <xf numFmtId="0" fontId="27" fillId="0" borderId="52" xfId="52" applyFont="1" applyBorder="1" applyAlignment="1">
      <alignment horizontal="center" vertical="center" wrapText="1"/>
    </xf>
    <xf numFmtId="0" fontId="27" fillId="0" borderId="72" xfId="52" applyFont="1" applyBorder="1" applyAlignment="1">
      <alignment horizontal="center" vertical="center" wrapText="1"/>
    </xf>
    <xf numFmtId="0" fontId="27" fillId="28" borderId="41" xfId="52" applyFont="1" applyFill="1" applyBorder="1" applyAlignment="1">
      <alignment horizontal="right" vertical="center" wrapText="1"/>
    </xf>
    <xf numFmtId="0" fontId="27" fillId="28" borderId="42" xfId="52" applyFont="1" applyFill="1" applyBorder="1" applyAlignment="1">
      <alignment horizontal="right" vertical="center" wrapText="1"/>
    </xf>
    <xf numFmtId="0" fontId="27" fillId="28" borderId="43" xfId="52" applyFont="1" applyFill="1" applyBorder="1" applyAlignment="1">
      <alignment horizontal="right" vertical="center" wrapText="1"/>
    </xf>
    <xf numFmtId="0" fontId="27" fillId="24" borderId="14" xfId="52" applyFont="1" applyFill="1" applyBorder="1" applyAlignment="1">
      <alignment horizontal="right" vertical="center" wrapText="1"/>
    </xf>
    <xf numFmtId="0" fontId="27" fillId="24" borderId="31" xfId="52" applyFont="1" applyFill="1" applyBorder="1" applyAlignment="1">
      <alignment horizontal="right" vertical="center" wrapText="1"/>
    </xf>
    <xf numFmtId="0" fontId="27" fillId="24" borderId="10" xfId="52" applyFont="1" applyFill="1" applyBorder="1" applyAlignment="1">
      <alignment horizontal="right" vertical="center" wrapText="1"/>
    </xf>
    <xf numFmtId="0" fontId="27" fillId="25" borderId="53" xfId="52" applyFont="1" applyFill="1" applyBorder="1" applyAlignment="1">
      <alignment horizontal="right" vertical="center" wrapText="1"/>
    </xf>
    <xf numFmtId="0" fontId="27" fillId="25" borderId="0" xfId="52" applyFont="1" applyFill="1" applyBorder="1" applyAlignment="1">
      <alignment horizontal="right" vertical="center" wrapText="1"/>
    </xf>
    <xf numFmtId="0" fontId="27" fillId="25" borderId="76" xfId="52" applyFont="1" applyFill="1" applyBorder="1" applyAlignment="1">
      <alignment horizontal="right" vertical="center" wrapText="1"/>
    </xf>
    <xf numFmtId="0" fontId="27" fillId="34" borderId="24" xfId="52" applyFont="1" applyFill="1" applyBorder="1" applyAlignment="1">
      <alignment horizontal="center" vertical="center" wrapText="1"/>
    </xf>
    <xf numFmtId="0" fontId="27" fillId="34" borderId="31" xfId="52" applyFont="1" applyFill="1" applyBorder="1" applyAlignment="1">
      <alignment horizontal="center" vertical="center" wrapText="1"/>
    </xf>
    <xf numFmtId="49" fontId="27" fillId="0" borderId="24" xfId="52" applyNumberFormat="1" applyFont="1" applyBorder="1" applyAlignment="1">
      <alignment horizontal="center" vertical="center" wrapText="1"/>
    </xf>
    <xf numFmtId="49" fontId="27" fillId="0" borderId="10" xfId="52" applyNumberFormat="1" applyFont="1" applyBorder="1" applyAlignment="1">
      <alignment horizontal="center" vertical="center" wrapText="1"/>
    </xf>
    <xf numFmtId="0" fontId="27" fillId="31" borderId="24" xfId="52" applyFont="1" applyFill="1" applyBorder="1" applyAlignment="1">
      <alignment horizontal="left" vertical="center" wrapText="1"/>
    </xf>
    <xf numFmtId="0" fontId="27" fillId="31" borderId="31" xfId="52" applyFont="1" applyFill="1" applyBorder="1" applyAlignment="1">
      <alignment horizontal="left" vertical="center" wrapText="1"/>
    </xf>
    <xf numFmtId="49" fontId="27" fillId="0" borderId="45" xfId="52" applyNumberFormat="1" applyFont="1" applyBorder="1" applyAlignment="1">
      <alignment horizontal="center" vertical="center" wrapText="1"/>
    </xf>
    <xf numFmtId="49" fontId="27" fillId="0" borderId="23" xfId="52" applyNumberFormat="1" applyFont="1" applyBorder="1" applyAlignment="1">
      <alignment horizontal="center" vertical="center" wrapText="1"/>
    </xf>
    <xf numFmtId="49" fontId="27" fillId="0" borderId="14" xfId="52" applyNumberFormat="1" applyFont="1" applyBorder="1" applyAlignment="1">
      <alignment horizontal="center" vertical="center" wrapText="1"/>
    </xf>
    <xf numFmtId="49" fontId="27" fillId="0" borderId="17" xfId="52" applyNumberFormat="1" applyFont="1" applyBorder="1" applyAlignment="1">
      <alignment horizontal="center" vertical="center" wrapText="1"/>
    </xf>
    <xf numFmtId="0" fontId="27" fillId="31" borderId="24" xfId="52" applyFont="1" applyFill="1" applyBorder="1" applyAlignment="1">
      <alignment horizontal="center" vertical="center" wrapText="1"/>
    </xf>
    <xf numFmtId="0" fontId="27" fillId="31" borderId="55" xfId="52" applyFont="1" applyFill="1" applyBorder="1" applyAlignment="1">
      <alignment horizontal="center" vertical="center" wrapText="1"/>
    </xf>
    <xf numFmtId="0" fontId="27" fillId="0" borderId="74" xfId="52" applyFont="1" applyBorder="1" applyAlignment="1">
      <alignment horizontal="center" vertical="center" wrapText="1"/>
    </xf>
    <xf numFmtId="49" fontId="27" fillId="0" borderId="74" xfId="52" applyNumberFormat="1" applyFont="1" applyBorder="1" applyAlignment="1">
      <alignment horizontal="center" vertical="center" wrapText="1"/>
    </xf>
    <xf numFmtId="0" fontId="27" fillId="28" borderId="53" xfId="52" applyFont="1" applyFill="1" applyBorder="1" applyAlignment="1">
      <alignment horizontal="right" vertical="center" wrapText="1"/>
    </xf>
    <xf numFmtId="0" fontId="27" fillId="28" borderId="0" xfId="52" applyFont="1" applyFill="1" applyBorder="1" applyAlignment="1">
      <alignment horizontal="right" vertical="center" wrapText="1"/>
    </xf>
    <xf numFmtId="0" fontId="27" fillId="28" borderId="76" xfId="52" applyFont="1" applyFill="1" applyBorder="1" applyAlignment="1">
      <alignment horizontal="right" vertical="center" wrapText="1"/>
    </xf>
    <xf numFmtId="49" fontId="27" fillId="0" borderId="50" xfId="52" applyNumberFormat="1" applyFont="1" applyBorder="1" applyAlignment="1">
      <alignment horizontal="center" vertical="center" wrapText="1"/>
    </xf>
    <xf numFmtId="49" fontId="27" fillId="0" borderId="71" xfId="52" applyNumberFormat="1" applyFont="1" applyBorder="1" applyAlignment="1">
      <alignment horizontal="center" vertical="center" wrapText="1"/>
    </xf>
    <xf numFmtId="167" fontId="27" fillId="0" borderId="20" xfId="52" applyNumberFormat="1" applyFont="1" applyBorder="1" applyAlignment="1">
      <alignment horizontal="center" vertical="center" textRotation="90" wrapText="1"/>
    </xf>
    <xf numFmtId="167" fontId="51" fillId="0" borderId="23" xfId="52" applyNumberFormat="1" applyFont="1" applyBorder="1" applyAlignment="1"/>
    <xf numFmtId="0" fontId="27" fillId="30" borderId="11" xfId="52" applyFont="1" applyFill="1" applyBorder="1" applyAlignment="1">
      <alignment horizontal="left" vertical="center"/>
    </xf>
    <xf numFmtId="0" fontId="27" fillId="30" borderId="14" xfId="52" applyFont="1" applyFill="1" applyBorder="1" applyAlignment="1">
      <alignment horizontal="left" vertical="center"/>
    </xf>
    <xf numFmtId="0" fontId="8" fillId="0" borderId="14" xfId="52" applyBorder="1" applyAlignment="1">
      <alignment horizontal="left"/>
    </xf>
    <xf numFmtId="0" fontId="8" fillId="0" borderId="28" xfId="52" applyBorder="1" applyAlignment="1">
      <alignment horizontal="left"/>
    </xf>
    <xf numFmtId="0" fontId="27" fillId="29" borderId="11" xfId="52" applyFont="1" applyFill="1" applyBorder="1" applyAlignment="1">
      <alignment horizontal="left" vertical="center"/>
    </xf>
    <xf numFmtId="0" fontId="27" fillId="29" borderId="14" xfId="52" applyFont="1" applyFill="1" applyBorder="1" applyAlignment="1">
      <alignment horizontal="left" vertical="center"/>
    </xf>
    <xf numFmtId="0" fontId="27" fillId="25" borderId="14" xfId="52" applyFont="1" applyFill="1" applyBorder="1" applyAlignment="1">
      <alignment horizontal="left" vertical="center"/>
    </xf>
    <xf numFmtId="0" fontId="8" fillId="0" borderId="14" xfId="52" applyBorder="1" applyAlignment="1"/>
    <xf numFmtId="0" fontId="8" fillId="0" borderId="28" xfId="52" applyBorder="1" applyAlignment="1"/>
    <xf numFmtId="0" fontId="27" fillId="24" borderId="29" xfId="52" applyFont="1" applyFill="1" applyBorder="1" applyAlignment="1">
      <alignment horizontal="left" vertical="center"/>
    </xf>
    <xf numFmtId="0" fontId="8" fillId="0" borderId="29" xfId="52" applyBorder="1" applyAlignment="1"/>
    <xf numFmtId="0" fontId="8" fillId="0" borderId="34" xfId="52" applyBorder="1" applyAlignment="1"/>
    <xf numFmtId="0" fontId="27" fillId="0" borderId="67" xfId="52" applyFont="1" applyBorder="1" applyAlignment="1">
      <alignment horizontal="center" vertical="center" textRotation="90" wrapText="1"/>
    </xf>
    <xf numFmtId="0" fontId="44" fillId="0" borderId="68" xfId="52" applyFont="1" applyBorder="1" applyAlignment="1"/>
    <xf numFmtId="0" fontId="27" fillId="0" borderId="68" xfId="52" applyFont="1" applyBorder="1" applyAlignment="1">
      <alignment horizontal="center" vertical="center" textRotation="90" wrapText="1"/>
    </xf>
    <xf numFmtId="167" fontId="5" fillId="0" borderId="60" xfId="52" applyNumberFormat="1" applyFont="1" applyBorder="1" applyAlignment="1">
      <alignment horizontal="left" vertical="center" wrapText="1"/>
    </xf>
    <xf numFmtId="167" fontId="5" fillId="0" borderId="61" xfId="52" applyNumberFormat="1" applyFont="1" applyBorder="1" applyAlignment="1">
      <alignment horizontal="left" vertical="center" wrapText="1"/>
    </xf>
    <xf numFmtId="0" fontId="24" fillId="0" borderId="22" xfId="52" applyFont="1" applyBorder="1" applyAlignment="1">
      <alignment horizontal="center" vertical="center" wrapText="1"/>
    </xf>
    <xf numFmtId="0" fontId="24" fillId="0" borderId="0" xfId="52" applyFont="1" applyBorder="1" applyAlignment="1">
      <alignment horizontal="center" vertical="center" wrapText="1"/>
    </xf>
    <xf numFmtId="0" fontId="24" fillId="0" borderId="76" xfId="52" applyFont="1" applyBorder="1" applyAlignment="1">
      <alignment horizontal="center" vertical="center" wrapText="1"/>
    </xf>
    <xf numFmtId="167" fontId="27" fillId="0" borderId="64" xfId="52" applyNumberFormat="1" applyFont="1" applyBorder="1" applyAlignment="1">
      <alignment horizontal="center"/>
    </xf>
    <xf numFmtId="167" fontId="27" fillId="0" borderId="51" xfId="52" applyNumberFormat="1" applyFont="1" applyBorder="1" applyAlignment="1">
      <alignment horizontal="center"/>
    </xf>
    <xf numFmtId="0" fontId="44" fillId="0" borderId="68" xfId="52" applyFont="1" applyBorder="1" applyAlignment="1">
      <alignment horizontal="center"/>
    </xf>
    <xf numFmtId="0" fontId="27" fillId="0" borderId="67" xfId="52" applyFont="1" applyBorder="1" applyAlignment="1">
      <alignment horizontal="left" vertical="center" wrapText="1"/>
    </xf>
    <xf numFmtId="0" fontId="44" fillId="0" borderId="68" xfId="52" applyFont="1" applyBorder="1" applyAlignment="1">
      <alignment horizontal="left"/>
    </xf>
    <xf numFmtId="167" fontId="27" fillId="0" borderId="25" xfId="52" applyNumberFormat="1" applyFont="1" applyBorder="1" applyAlignment="1">
      <alignment horizontal="center" vertical="center" wrapText="1"/>
    </xf>
    <xf numFmtId="167" fontId="27" fillId="0" borderId="12" xfId="52" applyNumberFormat="1" applyFont="1" applyBorder="1" applyAlignment="1">
      <alignment horizontal="center" vertical="center" wrapText="1"/>
    </xf>
    <xf numFmtId="167" fontId="27" fillId="0" borderId="26" xfId="52" applyNumberFormat="1" applyFont="1" applyBorder="1" applyAlignment="1">
      <alignment horizontal="center" vertical="center" wrapText="1"/>
    </xf>
    <xf numFmtId="167" fontId="27" fillId="0" borderId="15" xfId="52" applyNumberFormat="1" applyFont="1" applyBorder="1" applyAlignment="1">
      <alignment horizontal="center" vertical="center" textRotation="90"/>
    </xf>
    <xf numFmtId="167" fontId="51" fillId="0" borderId="58" xfId="52" applyNumberFormat="1" applyFont="1" applyBorder="1" applyAlignment="1"/>
    <xf numFmtId="167" fontId="27" fillId="0" borderId="17" xfId="52" applyNumberFormat="1" applyFont="1" applyBorder="1" applyAlignment="1">
      <alignment horizontal="center" vertical="center" wrapText="1"/>
    </xf>
    <xf numFmtId="167" fontId="51" fillId="0" borderId="36" xfId="52" applyNumberFormat="1" applyFont="1" applyBorder="1" applyAlignment="1"/>
    <xf numFmtId="167" fontId="51" fillId="0" borderId="47" xfId="52" applyNumberFormat="1" applyFont="1" applyBorder="1" applyAlignment="1"/>
    <xf numFmtId="0" fontId="27" fillId="47" borderId="15" xfId="0" applyFont="1" applyFill="1" applyBorder="1" applyAlignment="1">
      <alignment horizontal="center" vertical="center" wrapText="1"/>
    </xf>
    <xf numFmtId="0" fontId="27" fillId="48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49" borderId="38" xfId="0" applyFont="1" applyFill="1" applyBorder="1" applyAlignment="1">
      <alignment horizontal="right" vertical="center" wrapText="1"/>
    </xf>
    <xf numFmtId="0" fontId="27" fillId="49" borderId="77" xfId="0" applyFont="1" applyFill="1" applyBorder="1" applyAlignment="1">
      <alignment horizontal="right" vertical="center" wrapText="1"/>
    </xf>
    <xf numFmtId="0" fontId="27" fillId="0" borderId="63" xfId="0" applyFont="1" applyBorder="1" applyAlignment="1">
      <alignment vertical="center" wrapText="1"/>
    </xf>
    <xf numFmtId="0" fontId="27" fillId="0" borderId="64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18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31" borderId="13" xfId="0" applyFont="1" applyFill="1" applyBorder="1" applyAlignment="1">
      <alignment horizontal="center" vertical="center"/>
    </xf>
    <xf numFmtId="0" fontId="27" fillId="31" borderId="55" xfId="0" applyFont="1" applyFill="1" applyBorder="1" applyAlignment="1">
      <alignment horizontal="center" vertical="center"/>
    </xf>
    <xf numFmtId="0" fontId="27" fillId="49" borderId="38" xfId="0" applyFont="1" applyFill="1" applyBorder="1" applyAlignment="1">
      <alignment horizontal="right" vertical="center"/>
    </xf>
    <xf numFmtId="0" fontId="27" fillId="49" borderId="77" xfId="0" applyFont="1" applyFill="1" applyBorder="1" applyAlignment="1">
      <alignment horizontal="right" vertical="center"/>
    </xf>
    <xf numFmtId="0" fontId="27" fillId="47" borderId="14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left" vertical="center" wrapText="1"/>
    </xf>
    <xf numFmtId="168" fontId="27" fillId="0" borderId="10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7" fillId="52" borderId="38" xfId="0" applyFont="1" applyFill="1" applyBorder="1" applyAlignment="1">
      <alignment horizontal="right" vertical="center"/>
    </xf>
    <xf numFmtId="0" fontId="27" fillId="52" borderId="39" xfId="0" applyFont="1" applyFill="1" applyBorder="1" applyAlignment="1">
      <alignment horizontal="right" vertical="center"/>
    </xf>
    <xf numFmtId="0" fontId="27" fillId="52" borderId="40" xfId="0" applyFont="1" applyFill="1" applyBorder="1" applyAlignment="1">
      <alignment horizontal="right" vertical="center"/>
    </xf>
    <xf numFmtId="49" fontId="26" fillId="53" borderId="77" xfId="0" applyNumberFormat="1" applyFont="1" applyFill="1" applyBorder="1" applyAlignment="1">
      <alignment horizontal="right" vertical="center" wrapText="1"/>
    </xf>
    <xf numFmtId="0" fontId="27" fillId="54" borderId="61" xfId="0" applyFont="1" applyFill="1" applyBorder="1" applyAlignment="1">
      <alignment horizontal="right" vertical="center" wrapText="1"/>
    </xf>
    <xf numFmtId="0" fontId="27" fillId="50" borderId="81" xfId="0" applyFont="1" applyFill="1" applyBorder="1" applyAlignment="1">
      <alignment horizontal="left" vertical="center" wrapText="1"/>
    </xf>
    <xf numFmtId="0" fontId="27" fillId="47" borderId="11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35" borderId="31" xfId="0" applyFont="1" applyFill="1" applyBorder="1" applyAlignment="1">
      <alignment horizontal="left" vertical="center" wrapText="1"/>
    </xf>
    <xf numFmtId="168" fontId="27" fillId="0" borderId="59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 wrapText="1"/>
    </xf>
    <xf numFmtId="0" fontId="27" fillId="48" borderId="67" xfId="0" applyFont="1" applyFill="1" applyBorder="1" applyAlignment="1">
      <alignment horizontal="right" vertical="center"/>
    </xf>
    <xf numFmtId="0" fontId="27" fillId="47" borderId="67" xfId="0" applyFont="1" applyFill="1" applyBorder="1" applyAlignment="1">
      <alignment horizontal="right" vertical="center"/>
    </xf>
    <xf numFmtId="0" fontId="27" fillId="47" borderId="77" xfId="0" applyFont="1" applyFill="1" applyBorder="1" applyAlignment="1">
      <alignment horizontal="left" vertical="center"/>
    </xf>
    <xf numFmtId="0" fontId="27" fillId="48" borderId="77" xfId="0" applyFont="1" applyFill="1" applyBorder="1" applyAlignment="1">
      <alignment horizontal="left" vertical="center"/>
    </xf>
    <xf numFmtId="0" fontId="27" fillId="48" borderId="24" xfId="0" applyFont="1" applyFill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35" borderId="59" xfId="0" applyFont="1" applyFill="1" applyBorder="1" applyAlignment="1">
      <alignment horizontal="left" vertical="center" wrapText="1"/>
    </xf>
    <xf numFmtId="49" fontId="27" fillId="0" borderId="62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50" borderId="14" xfId="0" applyFont="1" applyFill="1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center" vertical="center" textRotation="90" wrapText="1"/>
    </xf>
    <xf numFmtId="0" fontId="27" fillId="45" borderId="77" xfId="0" applyFont="1" applyFill="1" applyBorder="1" applyAlignment="1">
      <alignment horizontal="left" vertical="center" wrapText="1"/>
    </xf>
    <xf numFmtId="0" fontId="27" fillId="46" borderId="77" xfId="0" applyFont="1" applyFill="1" applyBorder="1" applyAlignment="1">
      <alignment horizontal="left" vertical="center" wrapText="1"/>
    </xf>
    <xf numFmtId="0" fontId="27" fillId="47" borderId="77" xfId="0" applyFont="1" applyFill="1" applyBorder="1" applyAlignment="1">
      <alignment horizontal="left" vertical="center" wrapText="1"/>
    </xf>
    <xf numFmtId="0" fontId="27" fillId="48" borderId="77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49" fontId="27" fillId="0" borderId="44" xfId="0" applyNumberFormat="1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textRotation="90" wrapText="1"/>
    </xf>
    <xf numFmtId="167" fontId="27" fillId="0" borderId="79" xfId="0" applyNumberFormat="1" applyFont="1" applyBorder="1" applyAlignment="1">
      <alignment horizontal="center" vertical="center" wrapText="1"/>
    </xf>
    <xf numFmtId="167" fontId="27" fillId="0" borderId="83" xfId="0" applyNumberFormat="1" applyFont="1" applyBorder="1" applyAlignment="1">
      <alignment horizontal="center" vertical="center" textRotation="90"/>
    </xf>
    <xf numFmtId="0" fontId="27" fillId="0" borderId="44" xfId="0" applyFont="1" applyBorder="1" applyAlignment="1">
      <alignment horizontal="center" vertical="center" wrapText="1"/>
    </xf>
    <xf numFmtId="0" fontId="27" fillId="49" borderId="67" xfId="0" applyFont="1" applyFill="1" applyBorder="1" applyAlignment="1">
      <alignment horizontal="right" vertical="center"/>
    </xf>
    <xf numFmtId="167" fontId="27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7" fillId="0" borderId="64" xfId="0" applyFont="1" applyBorder="1" applyAlignment="1">
      <alignment horizontal="right"/>
    </xf>
    <xf numFmtId="0" fontId="27" fillId="0" borderId="53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center" vertical="center" textRotation="90" wrapText="1"/>
    </xf>
    <xf numFmtId="167" fontId="27" fillId="0" borderId="28" xfId="0" applyNumberFormat="1" applyFont="1" applyBorder="1" applyAlignment="1">
      <alignment horizontal="center" vertical="center" wrapText="1"/>
    </xf>
    <xf numFmtId="167" fontId="27" fillId="0" borderId="14" xfId="0" applyNumberFormat="1" applyFont="1" applyBorder="1" applyAlignment="1">
      <alignment horizontal="center" vertical="center" wrapText="1"/>
    </xf>
    <xf numFmtId="14" fontId="58" fillId="31" borderId="60" xfId="46" applyNumberFormat="1" applyFont="1" applyFill="1" applyBorder="1" applyAlignment="1">
      <alignment horizontal="left" wrapText="1"/>
    </xf>
    <xf numFmtId="0" fontId="58" fillId="31" borderId="60" xfId="46" applyFont="1" applyFill="1" applyBorder="1" applyAlignment="1">
      <alignment horizontal="left" wrapText="1"/>
    </xf>
    <xf numFmtId="0" fontId="27" fillId="0" borderId="63" xfId="46" applyFont="1" applyBorder="1" applyAlignment="1">
      <alignment horizontal="right"/>
    </xf>
    <xf numFmtId="0" fontId="27" fillId="0" borderId="51" xfId="46" applyFont="1" applyBorder="1" applyAlignment="1">
      <alignment horizontal="right"/>
    </xf>
    <xf numFmtId="0" fontId="36" fillId="0" borderId="67" xfId="46" applyFont="1" applyBorder="1" applyAlignment="1">
      <alignment horizontal="center" vertical="center" textRotation="90" wrapText="1"/>
    </xf>
    <xf numFmtId="0" fontId="36" fillId="0" borderId="68" xfId="46" applyFont="1" applyBorder="1" applyAlignment="1">
      <alignment horizontal="center" vertical="center" textRotation="90" wrapText="1"/>
    </xf>
    <xf numFmtId="0" fontId="36" fillId="0" borderId="67" xfId="46" applyFont="1" applyBorder="1" applyAlignment="1">
      <alignment horizontal="left" vertical="center" wrapText="1"/>
    </xf>
    <xf numFmtId="0" fontId="36" fillId="0" borderId="68" xfId="46" applyFont="1" applyBorder="1" applyAlignment="1">
      <alignment horizontal="left" vertical="center" wrapText="1"/>
    </xf>
    <xf numFmtId="0" fontId="36" fillId="0" borderId="73" xfId="46" applyFont="1" applyBorder="1" applyAlignment="1">
      <alignment horizontal="left" vertical="center" wrapText="1"/>
    </xf>
    <xf numFmtId="0" fontId="36" fillId="0" borderId="57" xfId="46" applyFont="1" applyBorder="1" applyAlignment="1">
      <alignment horizontal="center" vertical="center" textRotation="90" wrapText="1"/>
    </xf>
    <xf numFmtId="0" fontId="36" fillId="0" borderId="66" xfId="46" applyFont="1" applyBorder="1" applyAlignment="1">
      <alignment horizontal="center" vertical="center" textRotation="90" wrapText="1"/>
    </xf>
    <xf numFmtId="0" fontId="36" fillId="0" borderId="66" xfId="46" applyFont="1" applyBorder="1" applyAlignment="1">
      <alignment vertical="center" textRotation="90" wrapText="1"/>
    </xf>
    <xf numFmtId="0" fontId="36" fillId="0" borderId="21" xfId="46" applyFont="1" applyBorder="1" applyAlignment="1">
      <alignment vertical="center" textRotation="90" wrapText="1"/>
    </xf>
    <xf numFmtId="0" fontId="36" fillId="0" borderId="21" xfId="46" applyFont="1" applyBorder="1" applyAlignment="1">
      <alignment horizontal="center" vertical="center" textRotation="90" wrapText="1"/>
    </xf>
    <xf numFmtId="3" fontId="27" fillId="0" borderId="14" xfId="46" applyNumberFormat="1" applyFont="1" applyBorder="1" applyAlignment="1">
      <alignment horizontal="center" vertical="center" wrapText="1"/>
    </xf>
    <xf numFmtId="3" fontId="27" fillId="0" borderId="28" xfId="46" applyNumberFormat="1" applyFont="1" applyBorder="1" applyAlignment="1">
      <alignment horizontal="center" vertical="center" textRotation="90" wrapText="1"/>
    </xf>
    <xf numFmtId="3" fontId="27" fillId="0" borderId="20" xfId="46" applyNumberFormat="1" applyFont="1" applyBorder="1" applyAlignment="1">
      <alignment horizontal="center" vertical="center" textRotation="90" wrapText="1"/>
    </xf>
    <xf numFmtId="0" fontId="27" fillId="30" borderId="77" xfId="46" applyFont="1" applyFill="1" applyBorder="1" applyAlignment="1">
      <alignment horizontal="left" vertical="center" wrapText="1"/>
    </xf>
    <xf numFmtId="0" fontId="27" fillId="29" borderId="77" xfId="46" applyFont="1" applyFill="1" applyBorder="1" applyAlignment="1">
      <alignment horizontal="left" vertical="center" wrapText="1"/>
    </xf>
    <xf numFmtId="0" fontId="27" fillId="25" borderId="77" xfId="46" applyFont="1" applyFill="1" applyBorder="1" applyAlignment="1">
      <alignment horizontal="left" vertical="center" wrapText="1"/>
    </xf>
    <xf numFmtId="0" fontId="27" fillId="24" borderId="77" xfId="46" applyFont="1" applyFill="1" applyBorder="1" applyAlignment="1">
      <alignment horizontal="left" vertical="center" wrapText="1"/>
    </xf>
    <xf numFmtId="0" fontId="27" fillId="24" borderId="67" xfId="46" applyFont="1" applyFill="1" applyBorder="1" applyAlignment="1">
      <alignment horizontal="left" vertical="center" wrapText="1"/>
    </xf>
    <xf numFmtId="3" fontId="27" fillId="0" borderId="11" xfId="46" applyNumberFormat="1" applyFont="1" applyBorder="1" applyAlignment="1">
      <alignment horizontal="center" vertical="center" textRotation="90"/>
    </xf>
    <xf numFmtId="3" fontId="27" fillId="0" borderId="15" xfId="46" applyNumberFormat="1" applyFont="1" applyBorder="1" applyAlignment="1">
      <alignment horizontal="center" vertical="center" textRotation="90"/>
    </xf>
    <xf numFmtId="3" fontId="27" fillId="0" borderId="28" xfId="46" applyNumberFormat="1" applyFont="1" applyBorder="1" applyAlignment="1">
      <alignment horizontal="center" vertical="center" wrapText="1"/>
    </xf>
    <xf numFmtId="0" fontId="36" fillId="0" borderId="73" xfId="46" applyFont="1" applyBorder="1" applyAlignment="1">
      <alignment horizontal="center" vertical="center" textRotation="90" wrapText="1"/>
    </xf>
    <xf numFmtId="3" fontId="27" fillId="0" borderId="25" xfId="46" applyNumberFormat="1" applyFont="1" applyBorder="1" applyAlignment="1">
      <alignment horizontal="center" vertical="center" wrapText="1"/>
    </xf>
    <xf numFmtId="3" fontId="27" fillId="0" borderId="12" xfId="46" applyNumberFormat="1" applyFont="1" applyBorder="1" applyAlignment="1">
      <alignment horizontal="center" vertical="center" wrapText="1"/>
    </xf>
    <xf numFmtId="3" fontId="27" fillId="0" borderId="26" xfId="46" applyNumberFormat="1" applyFont="1" applyBorder="1" applyAlignment="1">
      <alignment horizontal="center" vertical="center" wrapText="1"/>
    </xf>
    <xf numFmtId="0" fontId="36" fillId="26" borderId="17" xfId="46" applyFont="1" applyFill="1" applyBorder="1" applyAlignment="1">
      <alignment horizontal="center" vertical="center"/>
    </xf>
    <xf numFmtId="0" fontId="36" fillId="32" borderId="63" xfId="46" applyFont="1" applyFill="1" applyBorder="1" applyAlignment="1">
      <alignment horizontal="right" vertical="center" wrapText="1"/>
    </xf>
    <xf numFmtId="0" fontId="36" fillId="32" borderId="64" xfId="46" applyFont="1" applyFill="1" applyBorder="1" applyAlignment="1">
      <alignment horizontal="right" vertical="center" wrapText="1"/>
    </xf>
    <xf numFmtId="0" fontId="36" fillId="32" borderId="51" xfId="46" applyFont="1" applyFill="1" applyBorder="1" applyAlignment="1">
      <alignment horizontal="right" vertical="center" wrapText="1"/>
    </xf>
    <xf numFmtId="0" fontId="36" fillId="25" borderId="58" xfId="46" applyFont="1" applyFill="1" applyBorder="1" applyAlignment="1">
      <alignment horizontal="center" vertical="center" wrapText="1"/>
    </xf>
    <xf numFmtId="0" fontId="36" fillId="25" borderId="16" xfId="46" applyFont="1" applyFill="1" applyBorder="1" applyAlignment="1">
      <alignment horizontal="center" vertical="center" wrapText="1"/>
    </xf>
    <xf numFmtId="0" fontId="36" fillId="24" borderId="62" xfId="46" applyFont="1" applyFill="1" applyBorder="1" applyAlignment="1">
      <alignment horizontal="center" vertical="center" wrapText="1"/>
    </xf>
    <xf numFmtId="0" fontId="36" fillId="24" borderId="10" xfId="46" applyFont="1" applyFill="1" applyBorder="1" applyAlignment="1">
      <alignment horizontal="center" vertical="center" wrapText="1"/>
    </xf>
    <xf numFmtId="0" fontId="36" fillId="26" borderId="62" xfId="46" applyFont="1" applyFill="1" applyBorder="1" applyAlignment="1">
      <alignment horizontal="center" vertical="center" wrapText="1"/>
    </xf>
    <xf numFmtId="0" fontId="36" fillId="26" borderId="10" xfId="46" applyFont="1" applyFill="1" applyBorder="1" applyAlignment="1">
      <alignment horizontal="center" vertical="center" wrapText="1"/>
    </xf>
    <xf numFmtId="0" fontId="27" fillId="26" borderId="24" xfId="46" applyFont="1" applyFill="1" applyBorder="1" applyAlignment="1">
      <alignment horizontal="left" vertical="center" wrapText="1"/>
    </xf>
    <xf numFmtId="0" fontId="27" fillId="26" borderId="59" xfId="46" applyFont="1" applyFill="1" applyBorder="1" applyAlignment="1">
      <alignment horizontal="left" vertical="center" wrapText="1"/>
    </xf>
    <xf numFmtId="0" fontId="27" fillId="26" borderId="31" xfId="46" applyFont="1" applyFill="1" applyBorder="1" applyAlignment="1">
      <alignment horizontal="left" vertical="center" wrapText="1"/>
    </xf>
    <xf numFmtId="0" fontId="36" fillId="26" borderId="24" xfId="46" applyFont="1" applyFill="1" applyBorder="1" applyAlignment="1">
      <alignment horizontal="center" vertical="center" wrapText="1"/>
    </xf>
    <xf numFmtId="0" fontId="36" fillId="26" borderId="31" xfId="46" applyFont="1" applyFill="1" applyBorder="1" applyAlignment="1">
      <alignment horizontal="center" vertical="center" wrapText="1"/>
    </xf>
    <xf numFmtId="0" fontId="36" fillId="26" borderId="13" xfId="46" applyFont="1" applyFill="1" applyBorder="1" applyAlignment="1">
      <alignment horizontal="center" vertical="center"/>
    </xf>
    <xf numFmtId="0" fontId="36" fillId="26" borderId="59" xfId="46" applyFont="1" applyFill="1" applyBorder="1" applyAlignment="1">
      <alignment horizontal="center" vertical="center"/>
    </xf>
    <xf numFmtId="0" fontId="36" fillId="26" borderId="55" xfId="46" applyFont="1" applyFill="1" applyBorder="1" applyAlignment="1">
      <alignment horizontal="center" vertical="center"/>
    </xf>
    <xf numFmtId="0" fontId="36" fillId="26" borderId="59" xfId="46" applyFont="1" applyFill="1" applyBorder="1" applyAlignment="1">
      <alignment horizontal="center" vertical="center" wrapText="1"/>
    </xf>
    <xf numFmtId="0" fontId="36" fillId="26" borderId="14" xfId="46" applyFont="1" applyFill="1" applyBorder="1" applyAlignment="1">
      <alignment horizontal="center" vertical="center"/>
    </xf>
    <xf numFmtId="167" fontId="27" fillId="31" borderId="13" xfId="46" applyNumberFormat="1" applyFont="1" applyFill="1" applyBorder="1" applyAlignment="1">
      <alignment horizontal="center" vertical="center"/>
    </xf>
    <xf numFmtId="167" fontId="27" fillId="31" borderId="55" xfId="46" applyNumberFormat="1" applyFont="1" applyFill="1" applyBorder="1" applyAlignment="1">
      <alignment horizontal="center" vertical="center"/>
    </xf>
    <xf numFmtId="167" fontId="27" fillId="31" borderId="50" xfId="46" applyNumberFormat="1" applyFont="1" applyFill="1" applyBorder="1" applyAlignment="1">
      <alignment horizontal="center" vertical="center"/>
    </xf>
    <xf numFmtId="167" fontId="27" fillId="31" borderId="71" xfId="46" applyNumberFormat="1" applyFont="1" applyFill="1" applyBorder="1" applyAlignment="1">
      <alignment horizontal="center" vertical="center"/>
    </xf>
    <xf numFmtId="167" fontId="27" fillId="55" borderId="49" xfId="46" applyNumberFormat="1" applyFont="1" applyFill="1" applyBorder="1" applyAlignment="1">
      <alignment horizontal="center" vertical="center"/>
    </xf>
    <xf numFmtId="167" fontId="27" fillId="55" borderId="70" xfId="46" applyNumberFormat="1" applyFont="1" applyFill="1" applyBorder="1" applyAlignment="1">
      <alignment horizontal="center" vertical="center"/>
    </xf>
    <xf numFmtId="0" fontId="27" fillId="26" borderId="62" xfId="46" applyFont="1" applyFill="1" applyBorder="1" applyAlignment="1">
      <alignment horizontal="left" vertical="center" wrapText="1"/>
    </xf>
    <xf numFmtId="0" fontId="27" fillId="26" borderId="10" xfId="46" applyFont="1" applyFill="1" applyBorder="1" applyAlignment="1">
      <alignment horizontal="left" vertical="center" wrapText="1"/>
    </xf>
    <xf numFmtId="0" fontId="59" fillId="26" borderId="62" xfId="46" applyFont="1" applyFill="1" applyBorder="1" applyAlignment="1">
      <alignment horizontal="center" vertical="center" wrapText="1"/>
    </xf>
    <xf numFmtId="0" fontId="59" fillId="26" borderId="10" xfId="46" applyFont="1" applyFill="1" applyBorder="1" applyAlignment="1">
      <alignment horizontal="center" vertical="center" wrapText="1"/>
    </xf>
    <xf numFmtId="0" fontId="36" fillId="26" borderId="50" xfId="46" applyFont="1" applyFill="1" applyBorder="1" applyAlignment="1">
      <alignment horizontal="center" vertical="center"/>
    </xf>
    <xf numFmtId="0" fontId="36" fillId="26" borderId="71" xfId="46" applyFont="1" applyFill="1" applyBorder="1" applyAlignment="1">
      <alignment horizontal="center" vertical="center"/>
    </xf>
    <xf numFmtId="0" fontId="27" fillId="26" borderId="62" xfId="46" applyFont="1" applyFill="1" applyBorder="1" applyAlignment="1">
      <alignment horizontal="center" vertical="center" wrapText="1"/>
    </xf>
    <xf numFmtId="0" fontId="27" fillId="26" borderId="10" xfId="46" applyFont="1" applyFill="1" applyBorder="1" applyAlignment="1">
      <alignment horizontal="center" vertical="center" wrapText="1"/>
    </xf>
    <xf numFmtId="0" fontId="36" fillId="26" borderId="44" xfId="46" applyFont="1" applyFill="1" applyBorder="1" applyAlignment="1">
      <alignment horizontal="center" vertical="center"/>
    </xf>
    <xf numFmtId="0" fontId="36" fillId="26" borderId="62" xfId="46" applyFont="1" applyFill="1" applyBorder="1" applyAlignment="1">
      <alignment horizontal="center" vertical="center"/>
    </xf>
    <xf numFmtId="0" fontId="36" fillId="26" borderId="12" xfId="46" applyFont="1" applyFill="1" applyBorder="1" applyAlignment="1">
      <alignment horizontal="center" vertical="center" wrapText="1"/>
    </xf>
    <xf numFmtId="0" fontId="36" fillId="26" borderId="14" xfId="46" applyFont="1" applyFill="1" applyBorder="1" applyAlignment="1">
      <alignment horizontal="center" vertical="center" wrapText="1"/>
    </xf>
    <xf numFmtId="0" fontId="36" fillId="26" borderId="44" xfId="46" applyFont="1" applyFill="1" applyBorder="1" applyAlignment="1">
      <alignment horizontal="center" vertical="center" wrapText="1"/>
    </xf>
    <xf numFmtId="0" fontId="36" fillId="26" borderId="13" xfId="46" applyFont="1" applyFill="1" applyBorder="1" applyAlignment="1">
      <alignment horizontal="center" vertical="center" wrapText="1"/>
    </xf>
    <xf numFmtId="0" fontId="36" fillId="24" borderId="59" xfId="46" applyFont="1" applyFill="1" applyBorder="1" applyAlignment="1">
      <alignment horizontal="center" vertical="center" wrapText="1"/>
    </xf>
    <xf numFmtId="0" fontId="36" fillId="24" borderId="31" xfId="46" applyFont="1" applyFill="1" applyBorder="1" applyAlignment="1">
      <alignment horizontal="center" vertical="center" wrapText="1"/>
    </xf>
    <xf numFmtId="0" fontId="27" fillId="26" borderId="14" xfId="46" applyFont="1" applyFill="1" applyBorder="1" applyAlignment="1">
      <alignment horizontal="left" vertical="center" wrapText="1"/>
    </xf>
    <xf numFmtId="0" fontId="36" fillId="0" borderId="45" xfId="46" applyFont="1" applyBorder="1" applyAlignment="1">
      <alignment horizontal="center" vertical="center"/>
    </xf>
    <xf numFmtId="0" fontId="36" fillId="0" borderId="10" xfId="46" applyFont="1" applyBorder="1" applyAlignment="1">
      <alignment horizontal="center" vertical="center"/>
    </xf>
    <xf numFmtId="49" fontId="36" fillId="31" borderId="14" xfId="46" applyNumberFormat="1" applyFont="1" applyFill="1" applyBorder="1" applyAlignment="1">
      <alignment horizontal="center" vertical="center"/>
    </xf>
    <xf numFmtId="0" fontId="43" fillId="34" borderId="63" xfId="46" applyFont="1" applyFill="1" applyBorder="1" applyAlignment="1">
      <alignment horizontal="right" vertical="center" wrapText="1"/>
    </xf>
    <xf numFmtId="0" fontId="43" fillId="34" borderId="64" xfId="46" applyFont="1" applyFill="1" applyBorder="1" applyAlignment="1">
      <alignment horizontal="right" vertical="center" wrapText="1"/>
    </xf>
    <xf numFmtId="0" fontId="43" fillId="34" borderId="39" xfId="46" applyFont="1" applyFill="1" applyBorder="1" applyAlignment="1">
      <alignment horizontal="right" vertical="center" wrapText="1"/>
    </xf>
    <xf numFmtId="0" fontId="43" fillId="34" borderId="40" xfId="46" applyFont="1" applyFill="1" applyBorder="1" applyAlignment="1">
      <alignment horizontal="right" vertical="center" wrapText="1"/>
    </xf>
    <xf numFmtId="0" fontId="36" fillId="26" borderId="31" xfId="46" applyFont="1" applyFill="1" applyBorder="1" applyAlignment="1">
      <alignment horizontal="center" vertical="center"/>
    </xf>
    <xf numFmtId="0" fontId="27" fillId="26" borderId="13" xfId="46" applyFont="1" applyFill="1" applyBorder="1" applyAlignment="1">
      <alignment horizontal="left" vertical="center" wrapText="1"/>
    </xf>
    <xf numFmtId="0" fontId="36" fillId="26" borderId="10" xfId="46" applyFont="1" applyFill="1" applyBorder="1" applyAlignment="1">
      <alignment horizontal="center" vertical="center"/>
    </xf>
    <xf numFmtId="0" fontId="36" fillId="0" borderId="23" xfId="46" applyFont="1" applyBorder="1" applyAlignment="1">
      <alignment horizontal="center" vertical="center"/>
    </xf>
    <xf numFmtId="49" fontId="36" fillId="31" borderId="24" xfId="46" applyNumberFormat="1" applyFont="1" applyFill="1" applyBorder="1" applyAlignment="1">
      <alignment horizontal="center" vertical="center"/>
    </xf>
    <xf numFmtId="49" fontId="36" fillId="31" borderId="31" xfId="46" applyNumberFormat="1" applyFont="1" applyFill="1" applyBorder="1" applyAlignment="1">
      <alignment horizontal="center" vertical="center"/>
    </xf>
    <xf numFmtId="0" fontId="36" fillId="26" borderId="29" xfId="46" applyFont="1" applyFill="1" applyBorder="1" applyAlignment="1">
      <alignment horizontal="center" vertical="center"/>
    </xf>
    <xf numFmtId="0" fontId="36" fillId="26" borderId="12" xfId="46" applyFont="1" applyFill="1" applyBorder="1" applyAlignment="1">
      <alignment horizontal="center" vertical="center"/>
    </xf>
    <xf numFmtId="0" fontId="36" fillId="26" borderId="24" xfId="46" applyFont="1" applyFill="1" applyBorder="1" applyAlignment="1">
      <alignment horizontal="center" vertical="center"/>
    </xf>
    <xf numFmtId="0" fontId="36" fillId="26" borderId="45" xfId="46" applyFont="1" applyFill="1" applyBorder="1" applyAlignment="1">
      <alignment horizontal="center" vertical="center"/>
    </xf>
    <xf numFmtId="0" fontId="36" fillId="26" borderId="74" xfId="46" applyFont="1" applyFill="1" applyBorder="1" applyAlignment="1">
      <alignment horizontal="center" vertical="center"/>
    </xf>
    <xf numFmtId="0" fontId="36" fillId="26" borderId="52" xfId="46" applyFont="1" applyFill="1" applyBorder="1" applyAlignment="1">
      <alignment horizontal="center" vertical="center"/>
    </xf>
    <xf numFmtId="0" fontId="36" fillId="26" borderId="72" xfId="46" applyFont="1" applyFill="1" applyBorder="1" applyAlignment="1">
      <alignment horizontal="center" vertical="center"/>
    </xf>
    <xf numFmtId="0" fontId="36" fillId="26" borderId="37" xfId="46" applyFont="1" applyFill="1" applyBorder="1" applyAlignment="1">
      <alignment horizontal="center" vertical="center"/>
    </xf>
    <xf numFmtId="0" fontId="27" fillId="26" borderId="45" xfId="46" applyFont="1" applyFill="1" applyBorder="1" applyAlignment="1">
      <alignment horizontal="center" vertical="center" wrapText="1"/>
    </xf>
    <xf numFmtId="0" fontId="27" fillId="26" borderId="55" xfId="46" applyFont="1" applyFill="1" applyBorder="1" applyAlignment="1">
      <alignment horizontal="center" vertical="center" wrapText="1"/>
    </xf>
    <xf numFmtId="0" fontId="36" fillId="26" borderId="28" xfId="46" applyFont="1" applyFill="1" applyBorder="1" applyAlignment="1">
      <alignment horizontal="center" vertical="center"/>
    </xf>
    <xf numFmtId="0" fontId="36" fillId="26" borderId="20" xfId="46" applyFont="1" applyFill="1" applyBorder="1" applyAlignment="1">
      <alignment horizontal="center" vertical="center" wrapText="1"/>
    </xf>
    <xf numFmtId="0" fontId="36" fillId="26" borderId="23" xfId="46" applyFont="1" applyFill="1" applyBorder="1" applyAlignment="1">
      <alignment horizontal="center" vertical="center" wrapText="1"/>
    </xf>
    <xf numFmtId="0" fontId="36" fillId="26" borderId="71" xfId="46" applyFont="1" applyFill="1" applyBorder="1" applyAlignment="1">
      <alignment horizontal="center" vertical="center" wrapText="1"/>
    </xf>
    <xf numFmtId="0" fontId="27" fillId="26" borderId="17" xfId="46" applyFont="1" applyFill="1" applyBorder="1" applyAlignment="1">
      <alignment horizontal="center" vertical="center" wrapText="1"/>
    </xf>
    <xf numFmtId="0" fontId="27" fillId="26" borderId="14" xfId="46" applyFont="1" applyFill="1" applyBorder="1" applyAlignment="1">
      <alignment horizontal="center" vertical="center" wrapText="1"/>
    </xf>
    <xf numFmtId="0" fontId="27" fillId="26" borderId="23" xfId="46" applyFont="1" applyFill="1" applyBorder="1" applyAlignment="1">
      <alignment horizontal="center" vertical="center" wrapText="1"/>
    </xf>
    <xf numFmtId="0" fontId="27" fillId="26" borderId="19" xfId="46" applyFont="1" applyFill="1" applyBorder="1" applyAlignment="1">
      <alignment horizontal="center" vertical="center" wrapText="1"/>
    </xf>
    <xf numFmtId="0" fontId="27" fillId="0" borderId="81" xfId="46" applyFont="1" applyBorder="1" applyAlignment="1">
      <alignment horizontal="right" vertical="center" wrapText="1"/>
    </xf>
    <xf numFmtId="0" fontId="27" fillId="0" borderId="84" xfId="46" applyFont="1" applyBorder="1" applyAlignment="1">
      <alignment horizontal="right" vertical="center" wrapText="1"/>
    </xf>
    <xf numFmtId="0" fontId="27" fillId="0" borderId="79" xfId="46" applyFont="1" applyBorder="1" applyAlignment="1">
      <alignment horizontal="right" vertical="center" wrapText="1"/>
    </xf>
    <xf numFmtId="0" fontId="27" fillId="0" borderId="80" xfId="46" applyFont="1" applyBorder="1" applyAlignment="1">
      <alignment horizontal="right" vertical="center" wrapText="1"/>
    </xf>
    <xf numFmtId="0" fontId="27" fillId="0" borderId="111" xfId="46" applyFont="1" applyBorder="1" applyAlignment="1">
      <alignment horizontal="right" vertical="center" wrapText="1"/>
    </xf>
    <xf numFmtId="0" fontId="27" fillId="0" borderId="87" xfId="46" applyFont="1" applyBorder="1" applyAlignment="1">
      <alignment horizontal="right" vertical="center" wrapText="1"/>
    </xf>
    <xf numFmtId="0" fontId="27" fillId="0" borderId="63" xfId="46" applyFont="1" applyBorder="1" applyAlignment="1">
      <alignment horizontal="right" vertical="center" wrapText="1"/>
    </xf>
    <xf numFmtId="0" fontId="27" fillId="0" borderId="64" xfId="46" applyFont="1" applyBorder="1" applyAlignment="1">
      <alignment horizontal="right" vertical="center" wrapText="1"/>
    </xf>
    <xf numFmtId="0" fontId="27" fillId="0" borderId="51" xfId="46" applyFont="1" applyBorder="1" applyAlignment="1">
      <alignment horizontal="right" vertical="center" wrapText="1"/>
    </xf>
    <xf numFmtId="0" fontId="27" fillId="34" borderId="38" xfId="46" applyFont="1" applyFill="1" applyBorder="1" applyAlignment="1">
      <alignment horizontal="right" vertical="center" wrapText="1"/>
    </xf>
    <xf numFmtId="0" fontId="27" fillId="34" borderId="39" xfId="46" applyFont="1" applyFill="1" applyBorder="1" applyAlignment="1">
      <alignment horizontal="right" vertical="center" wrapText="1"/>
    </xf>
    <xf numFmtId="0" fontId="27" fillId="34" borderId="40" xfId="46" applyFont="1" applyFill="1" applyBorder="1" applyAlignment="1">
      <alignment horizontal="right" vertical="center" wrapText="1"/>
    </xf>
    <xf numFmtId="0" fontId="27" fillId="31" borderId="13" xfId="46" applyFont="1" applyFill="1" applyBorder="1" applyAlignment="1">
      <alignment horizontal="left" vertical="center" wrapText="1"/>
    </xf>
    <xf numFmtId="0" fontId="36" fillId="0" borderId="17" xfId="46" applyFont="1" applyBorder="1" applyAlignment="1">
      <alignment horizontal="center" vertical="center"/>
    </xf>
    <xf numFmtId="0" fontId="27" fillId="26" borderId="29" xfId="46" applyFont="1" applyFill="1" applyBorder="1" applyAlignment="1">
      <alignment horizontal="center" vertical="center" wrapText="1"/>
    </xf>
    <xf numFmtId="0" fontId="27" fillId="34" borderId="63" xfId="46" applyFont="1" applyFill="1" applyBorder="1" applyAlignment="1">
      <alignment horizontal="right" vertical="center" wrapText="1"/>
    </xf>
    <xf numFmtId="0" fontId="27" fillId="34" borderId="64" xfId="46" applyFont="1" applyFill="1" applyBorder="1" applyAlignment="1">
      <alignment horizontal="right" vertical="center" wrapText="1"/>
    </xf>
    <xf numFmtId="0" fontId="27" fillId="34" borderId="51" xfId="46" applyFont="1" applyFill="1" applyBorder="1" applyAlignment="1">
      <alignment horizontal="right" vertical="center" wrapText="1"/>
    </xf>
    <xf numFmtId="0" fontId="27" fillId="39" borderId="63" xfId="46" applyFont="1" applyFill="1" applyBorder="1" applyAlignment="1">
      <alignment horizontal="right" vertical="center"/>
    </xf>
    <xf numFmtId="0" fontId="27" fillId="39" borderId="64" xfId="46" applyFont="1" applyFill="1" applyBorder="1" applyAlignment="1">
      <alignment horizontal="right" vertical="center"/>
    </xf>
    <xf numFmtId="0" fontId="27" fillId="39" borderId="51" xfId="46" applyFont="1" applyFill="1" applyBorder="1" applyAlignment="1">
      <alignment horizontal="right" vertical="center"/>
    </xf>
    <xf numFmtId="0" fontId="27" fillId="25" borderId="73" xfId="46" applyFont="1" applyFill="1" applyBorder="1" applyAlignment="1">
      <alignment horizontal="left" vertical="center"/>
    </xf>
    <xf numFmtId="0" fontId="27" fillId="24" borderId="77" xfId="46" applyFont="1" applyFill="1" applyBorder="1" applyAlignment="1">
      <alignment horizontal="left" vertical="center"/>
    </xf>
    <xf numFmtId="0" fontId="27" fillId="26" borderId="46" xfId="46" applyFont="1" applyFill="1" applyBorder="1" applyAlignment="1">
      <alignment horizontal="center" vertical="center" wrapText="1"/>
    </xf>
    <xf numFmtId="0" fontId="27" fillId="26" borderId="69" xfId="46" applyFont="1" applyFill="1" applyBorder="1" applyAlignment="1">
      <alignment horizontal="center" vertical="center" wrapText="1"/>
    </xf>
    <xf numFmtId="0" fontId="27" fillId="26" borderId="75" xfId="46" applyFont="1" applyFill="1" applyBorder="1" applyAlignment="1">
      <alignment horizontal="center" vertical="center" wrapText="1"/>
    </xf>
    <xf numFmtId="0" fontId="28" fillId="31" borderId="59" xfId="46" applyFont="1" applyFill="1" applyBorder="1" applyAlignment="1">
      <alignment horizontal="left" vertical="center" wrapText="1"/>
    </xf>
    <xf numFmtId="0" fontId="28" fillId="31" borderId="31" xfId="46" applyFont="1" applyFill="1" applyBorder="1" applyAlignment="1">
      <alignment horizontal="left" vertical="center" wrapText="1"/>
    </xf>
    <xf numFmtId="0" fontId="36" fillId="31" borderId="10" xfId="46" applyFont="1" applyFill="1" applyBorder="1" applyAlignment="1">
      <alignment horizontal="center" vertical="center"/>
    </xf>
    <xf numFmtId="0" fontId="36" fillId="31" borderId="17" xfId="46" applyFont="1" applyFill="1" applyBorder="1" applyAlignment="1">
      <alignment horizontal="center" vertical="center"/>
    </xf>
    <xf numFmtId="0" fontId="36" fillId="32" borderId="22" xfId="46" applyFont="1" applyFill="1" applyBorder="1" applyAlignment="1">
      <alignment horizontal="right" vertical="center" wrapText="1"/>
    </xf>
    <xf numFmtId="0" fontId="36" fillId="32" borderId="0" xfId="46" applyFont="1" applyFill="1" applyBorder="1" applyAlignment="1">
      <alignment horizontal="right" vertical="center" wrapText="1"/>
    </xf>
    <xf numFmtId="0" fontId="36" fillId="32" borderId="76" xfId="46" applyFont="1" applyFill="1" applyBorder="1" applyAlignment="1">
      <alignment horizontal="right" vertical="center" wrapText="1"/>
    </xf>
    <xf numFmtId="0" fontId="28" fillId="0" borderId="24" xfId="46" applyFont="1" applyFill="1" applyBorder="1" applyAlignment="1">
      <alignment horizontal="left" vertical="center" wrapText="1"/>
    </xf>
    <xf numFmtId="0" fontId="28" fillId="0" borderId="59" xfId="46" applyFont="1" applyFill="1" applyBorder="1" applyAlignment="1">
      <alignment horizontal="left" vertical="center" wrapText="1"/>
    </xf>
    <xf numFmtId="0" fontId="28" fillId="0" borderId="31" xfId="46" applyFont="1" applyFill="1" applyBorder="1" applyAlignment="1">
      <alignment horizontal="left" vertical="center" wrapText="1"/>
    </xf>
    <xf numFmtId="49" fontId="36" fillId="0" borderId="24" xfId="46" applyNumberFormat="1" applyFont="1" applyBorder="1" applyAlignment="1">
      <alignment horizontal="center" vertical="center" wrapText="1"/>
    </xf>
    <xf numFmtId="49" fontId="36" fillId="0" borderId="59" xfId="46" applyNumberFormat="1" applyFont="1" applyBorder="1" applyAlignment="1">
      <alignment horizontal="center" vertical="center" wrapText="1"/>
    </xf>
    <xf numFmtId="49" fontId="36" fillId="0" borderId="31" xfId="46" applyNumberFormat="1" applyFont="1" applyBorder="1" applyAlignment="1">
      <alignment horizontal="center" vertical="center" wrapText="1"/>
    </xf>
    <xf numFmtId="0" fontId="36" fillId="33" borderId="15" xfId="46" applyFont="1" applyFill="1" applyBorder="1" applyAlignment="1">
      <alignment horizontal="center" vertical="center"/>
    </xf>
    <xf numFmtId="0" fontId="36" fillId="33" borderId="16" xfId="46" applyFont="1" applyFill="1" applyBorder="1" applyAlignment="1">
      <alignment horizontal="center" vertical="center"/>
    </xf>
    <xf numFmtId="0" fontId="26" fillId="39" borderId="63" xfId="46" applyFont="1" applyFill="1" applyBorder="1" applyAlignment="1">
      <alignment horizontal="right" vertical="center"/>
    </xf>
    <xf numFmtId="0" fontId="26" fillId="39" borderId="64" xfId="46" applyFont="1" applyFill="1" applyBorder="1" applyAlignment="1">
      <alignment horizontal="right" vertical="center"/>
    </xf>
    <xf numFmtId="0" fontId="26" fillId="39" borderId="51" xfId="46" applyFont="1" applyFill="1" applyBorder="1" applyAlignment="1">
      <alignment horizontal="right" vertical="center"/>
    </xf>
    <xf numFmtId="0" fontId="27" fillId="25" borderId="77" xfId="46" applyFont="1" applyFill="1" applyBorder="1" applyAlignment="1">
      <alignment horizontal="left" vertical="center"/>
    </xf>
    <xf numFmtId="0" fontId="36" fillId="31" borderId="10" xfId="46" applyFont="1" applyFill="1" applyBorder="1" applyAlignment="1">
      <alignment horizontal="center" vertical="center" wrapText="1"/>
    </xf>
    <xf numFmtId="0" fontId="36" fillId="31" borderId="17" xfId="46" applyFont="1" applyFill="1" applyBorder="1" applyAlignment="1">
      <alignment horizontal="center" vertical="center" wrapText="1"/>
    </xf>
    <xf numFmtId="0" fontId="27" fillId="0" borderId="55" xfId="46" applyFont="1" applyFill="1" applyBorder="1" applyAlignment="1">
      <alignment horizontal="left" vertical="center" wrapText="1"/>
    </xf>
    <xf numFmtId="0" fontId="27" fillId="26" borderId="78" xfId="46" applyFont="1" applyFill="1" applyBorder="1" applyAlignment="1">
      <alignment horizontal="center" vertical="center" wrapText="1"/>
    </xf>
    <xf numFmtId="0" fontId="27" fillId="26" borderId="17" xfId="46" applyFont="1" applyFill="1" applyBorder="1" applyAlignment="1">
      <alignment horizontal="center" vertical="center"/>
    </xf>
    <xf numFmtId="0" fontId="27" fillId="24" borderId="73" xfId="46" applyFont="1" applyFill="1" applyBorder="1" applyAlignment="1">
      <alignment horizontal="left" vertical="center" wrapText="1"/>
    </xf>
    <xf numFmtId="0" fontId="27" fillId="24" borderId="68" xfId="46" applyFont="1" applyFill="1" applyBorder="1" applyAlignment="1">
      <alignment horizontal="left" vertical="center" wrapText="1"/>
    </xf>
    <xf numFmtId="0" fontId="27" fillId="0" borderId="13" xfId="46" applyFont="1" applyFill="1" applyBorder="1" applyAlignment="1">
      <alignment horizontal="left" vertical="center" wrapText="1"/>
    </xf>
    <xf numFmtId="0" fontId="27" fillId="26" borderId="14" xfId="46" applyFont="1" applyFill="1" applyBorder="1" applyAlignment="1">
      <alignment horizontal="center" vertical="center"/>
    </xf>
    <xf numFmtId="0" fontId="36" fillId="28" borderId="63" xfId="46" applyFont="1" applyFill="1" applyBorder="1" applyAlignment="1">
      <alignment horizontal="right" vertical="center" wrapText="1"/>
    </xf>
    <xf numFmtId="0" fontId="36" fillId="28" borderId="64" xfId="46" applyFont="1" applyFill="1" applyBorder="1" applyAlignment="1">
      <alignment horizontal="right" vertical="center" wrapText="1"/>
    </xf>
    <xf numFmtId="0" fontId="27" fillId="26" borderId="12" xfId="46" applyFont="1" applyFill="1" applyBorder="1" applyAlignment="1">
      <alignment horizontal="center" vertical="center" wrapText="1"/>
    </xf>
    <xf numFmtId="0" fontId="36" fillId="28" borderId="22" xfId="46" applyFont="1" applyFill="1" applyBorder="1" applyAlignment="1">
      <alignment horizontal="right" vertical="center" wrapText="1"/>
    </xf>
    <xf numFmtId="0" fontId="36" fillId="28" borderId="0" xfId="46" applyFont="1" applyFill="1" applyBorder="1" applyAlignment="1">
      <alignment horizontal="right" vertical="center" wrapText="1"/>
    </xf>
    <xf numFmtId="0" fontId="36" fillId="28" borderId="76" xfId="46" applyFont="1" applyFill="1" applyBorder="1" applyAlignment="1">
      <alignment horizontal="right" vertical="center" wrapText="1"/>
    </xf>
    <xf numFmtId="0" fontId="36" fillId="0" borderId="25" xfId="46" applyFont="1" applyBorder="1" applyAlignment="1">
      <alignment horizontal="center" vertical="center" wrapText="1"/>
    </xf>
    <xf numFmtId="0" fontId="36" fillId="0" borderId="48" xfId="46" applyFont="1" applyBorder="1" applyAlignment="1">
      <alignment horizontal="center" vertical="center" wrapText="1"/>
    </xf>
    <xf numFmtId="0" fontId="36" fillId="0" borderId="12" xfId="46" applyFont="1" applyBorder="1" applyAlignment="1">
      <alignment horizontal="center" vertical="center" wrapText="1"/>
    </xf>
    <xf numFmtId="0" fontId="36" fillId="0" borderId="29" xfId="46" applyFont="1" applyBorder="1" applyAlignment="1">
      <alignment horizontal="center" vertical="center" wrapText="1"/>
    </xf>
    <xf numFmtId="0" fontId="36" fillId="26" borderId="26" xfId="46" applyFont="1" applyFill="1" applyBorder="1" applyAlignment="1">
      <alignment horizontal="center" vertical="center" wrapText="1"/>
    </xf>
    <xf numFmtId="0" fontId="36" fillId="26" borderId="34" xfId="46" applyFont="1" applyFill="1" applyBorder="1" applyAlignment="1">
      <alignment horizontal="center" vertical="center" wrapText="1"/>
    </xf>
    <xf numFmtId="0" fontId="36" fillId="28" borderId="51" xfId="46" applyFont="1" applyFill="1" applyBorder="1" applyAlignment="1">
      <alignment horizontal="right" vertical="center" wrapText="1"/>
    </xf>
    <xf numFmtId="0" fontId="36" fillId="26" borderId="17" xfId="46" applyFont="1" applyFill="1" applyBorder="1" applyAlignment="1">
      <alignment horizontal="center" vertical="center" wrapText="1"/>
    </xf>
    <xf numFmtId="0" fontId="27" fillId="26" borderId="25" xfId="46" applyFont="1" applyFill="1" applyBorder="1" applyAlignment="1">
      <alignment horizontal="center" vertical="center" wrapText="1"/>
    </xf>
    <xf numFmtId="0" fontId="27" fillId="26" borderId="11" xfId="46" applyFont="1" applyFill="1" applyBorder="1" applyAlignment="1">
      <alignment horizontal="center" vertical="center" wrapText="1"/>
    </xf>
    <xf numFmtId="0" fontId="27" fillId="26" borderId="48" xfId="46" applyFont="1" applyFill="1" applyBorder="1" applyAlignment="1">
      <alignment horizontal="center" vertical="center" wrapText="1"/>
    </xf>
    <xf numFmtId="0" fontId="36" fillId="26" borderId="45" xfId="46" applyFont="1" applyFill="1" applyBorder="1" applyAlignment="1">
      <alignment horizontal="center" vertical="center" wrapText="1"/>
    </xf>
    <xf numFmtId="0" fontId="36" fillId="39" borderId="11" xfId="46" applyFont="1" applyFill="1" applyBorder="1" applyAlignment="1">
      <alignment horizontal="center" vertical="center"/>
    </xf>
    <xf numFmtId="0" fontId="36" fillId="0" borderId="29" xfId="46" applyFont="1" applyBorder="1" applyAlignment="1">
      <alignment horizontal="center" vertical="center"/>
    </xf>
    <xf numFmtId="0" fontId="36" fillId="0" borderId="62" xfId="46" applyFont="1" applyBorder="1" applyAlignment="1">
      <alignment horizontal="center" vertical="center"/>
    </xf>
    <xf numFmtId="0" fontId="36" fillId="0" borderId="78" xfId="46" applyFont="1" applyBorder="1" applyAlignment="1">
      <alignment horizontal="center" vertical="center"/>
    </xf>
    <xf numFmtId="0" fontId="27" fillId="26" borderId="12" xfId="46" applyFont="1" applyFill="1" applyBorder="1" applyAlignment="1">
      <alignment horizontal="left" vertical="center" wrapText="1"/>
    </xf>
    <xf numFmtId="0" fontId="36" fillId="26" borderId="35" xfId="46" applyFont="1" applyFill="1" applyBorder="1" applyAlignment="1">
      <alignment horizontal="center" vertical="center" wrapText="1"/>
    </xf>
    <xf numFmtId="0" fontId="36" fillId="56" borderId="26" xfId="46" applyFont="1" applyFill="1" applyBorder="1" applyAlignment="1">
      <alignment horizontal="center" vertical="center" wrapText="1"/>
    </xf>
    <xf numFmtId="0" fontId="36" fillId="56" borderId="28" xfId="46" applyFont="1" applyFill="1" applyBorder="1" applyAlignment="1">
      <alignment horizontal="center" vertical="center" wrapText="1"/>
    </xf>
    <xf numFmtId="0" fontId="36" fillId="26" borderId="28" xfId="46" applyFont="1" applyFill="1" applyBorder="1" applyAlignment="1">
      <alignment horizontal="center" vertical="center" wrapText="1"/>
    </xf>
    <xf numFmtId="0" fontId="27" fillId="56" borderId="14" xfId="46" applyFont="1" applyFill="1" applyBorder="1" applyAlignment="1">
      <alignment horizontal="left" vertical="center" wrapText="1"/>
    </xf>
    <xf numFmtId="0" fontId="27" fillId="56" borderId="12" xfId="46" applyFont="1" applyFill="1" applyBorder="1" applyAlignment="1">
      <alignment horizontal="center" vertical="center"/>
    </xf>
    <xf numFmtId="0" fontId="27" fillId="56" borderId="29" xfId="46" applyFont="1" applyFill="1" applyBorder="1" applyAlignment="1">
      <alignment horizontal="center" vertical="center"/>
    </xf>
    <xf numFmtId="0" fontId="36" fillId="56" borderId="26" xfId="46" applyFont="1" applyFill="1" applyBorder="1" applyAlignment="1">
      <alignment horizontal="center" vertical="center"/>
    </xf>
    <xf numFmtId="0" fontId="36" fillId="56" borderId="34" xfId="46" applyFont="1" applyFill="1" applyBorder="1" applyAlignment="1">
      <alignment horizontal="center" vertical="center"/>
    </xf>
    <xf numFmtId="0" fontId="27" fillId="26" borderId="13" xfId="46" applyFont="1" applyFill="1" applyBorder="1" applyAlignment="1">
      <alignment horizontal="center" vertical="center" wrapText="1"/>
    </xf>
    <xf numFmtId="0" fontId="27" fillId="0" borderId="59" xfId="46" applyFont="1" applyBorder="1" applyAlignment="1"/>
    <xf numFmtId="0" fontId="27" fillId="0" borderId="55" xfId="46" applyFont="1" applyBorder="1" applyAlignment="1"/>
    <xf numFmtId="0" fontId="36" fillId="56" borderId="44" xfId="46" applyFont="1" applyFill="1" applyBorder="1" applyAlignment="1">
      <alignment horizontal="center" vertical="center" wrapText="1"/>
    </xf>
    <xf numFmtId="0" fontId="36" fillId="56" borderId="10" xfId="46" applyFont="1" applyFill="1" applyBorder="1" applyAlignment="1">
      <alignment horizontal="center" vertical="center" wrapText="1"/>
    </xf>
    <xf numFmtId="0" fontId="36" fillId="26" borderId="78" xfId="46" applyFont="1" applyFill="1" applyBorder="1" applyAlignment="1">
      <alignment horizontal="center" vertical="center" wrapText="1"/>
    </xf>
    <xf numFmtId="0" fontId="43" fillId="39" borderId="63" xfId="46" applyFont="1" applyFill="1" applyBorder="1" applyAlignment="1">
      <alignment horizontal="right" vertical="center"/>
    </xf>
    <xf numFmtId="0" fontId="43" fillId="39" borderId="64" xfId="46" applyFont="1" applyFill="1" applyBorder="1" applyAlignment="1">
      <alignment horizontal="right" vertical="center"/>
    </xf>
    <xf numFmtId="0" fontId="43" fillId="39" borderId="51" xfId="46" applyFont="1" applyFill="1" applyBorder="1" applyAlignment="1">
      <alignment horizontal="right" vertical="center"/>
    </xf>
    <xf numFmtId="0" fontId="27" fillId="0" borderId="58" xfId="46" applyFont="1" applyBorder="1" applyAlignment="1">
      <alignment horizontal="center"/>
    </xf>
    <xf numFmtId="0" fontId="27" fillId="0" borderId="16" xfId="46" applyFont="1" applyBorder="1" applyAlignment="1">
      <alignment horizontal="center"/>
    </xf>
    <xf numFmtId="0" fontId="27" fillId="0" borderId="59" xfId="46" applyFont="1" applyBorder="1" applyAlignment="1">
      <alignment horizontal="center"/>
    </xf>
    <xf numFmtId="0" fontId="27" fillId="0" borderId="55" xfId="46" applyFont="1" applyBorder="1" applyAlignment="1">
      <alignment horizontal="center"/>
    </xf>
    <xf numFmtId="0" fontId="27" fillId="26" borderId="59" xfId="46" applyFont="1" applyFill="1" applyBorder="1" applyAlignment="1">
      <alignment horizontal="left"/>
    </xf>
    <xf numFmtId="0" fontId="27" fillId="26" borderId="55" xfId="46" applyFont="1" applyFill="1" applyBorder="1" applyAlignment="1">
      <alignment horizontal="left"/>
    </xf>
    <xf numFmtId="0" fontId="27" fillId="0" borderId="17" xfId="46" applyFont="1" applyBorder="1" applyAlignment="1">
      <alignment horizontal="left" vertical="center" wrapText="1"/>
    </xf>
    <xf numFmtId="0" fontId="26" fillId="27" borderId="53" xfId="46" applyFont="1" applyFill="1" applyBorder="1" applyAlignment="1">
      <alignment horizontal="right" vertical="center"/>
    </xf>
    <xf numFmtId="0" fontId="26" fillId="27" borderId="60" xfId="46" applyFont="1" applyFill="1" applyBorder="1" applyAlignment="1">
      <alignment horizontal="right" vertical="center"/>
    </xf>
    <xf numFmtId="0" fontId="26" fillId="27" borderId="61" xfId="46" applyFont="1" applyFill="1" applyBorder="1" applyAlignment="1">
      <alignment horizontal="right" vertical="center"/>
    </xf>
    <xf numFmtId="0" fontId="61" fillId="0" borderId="14" xfId="46" applyFont="1" applyBorder="1" applyAlignment="1">
      <alignment horizontal="center" vertical="center"/>
    </xf>
    <xf numFmtId="0" fontId="26" fillId="27" borderId="63" xfId="46" applyFont="1" applyFill="1" applyBorder="1" applyAlignment="1">
      <alignment horizontal="right" vertical="center"/>
    </xf>
    <xf numFmtId="0" fontId="26" fillId="27" borderId="64" xfId="46" applyFont="1" applyFill="1" applyBorder="1" applyAlignment="1">
      <alignment horizontal="right" vertical="center"/>
    </xf>
    <xf numFmtId="0" fontId="26" fillId="27" borderId="51" xfId="46" applyFont="1" applyFill="1" applyBorder="1" applyAlignment="1">
      <alignment horizontal="right" vertical="center"/>
    </xf>
    <xf numFmtId="0" fontId="29" fillId="58" borderId="59" xfId="46" applyFont="1" applyFill="1" applyBorder="1" applyAlignment="1">
      <alignment horizontal="center" vertical="center"/>
    </xf>
    <xf numFmtId="0" fontId="61" fillId="60" borderId="14" xfId="46" applyFont="1" applyFill="1" applyBorder="1" applyAlignment="1">
      <alignment horizontal="center" vertical="center"/>
    </xf>
    <xf numFmtId="0" fontId="61" fillId="30" borderId="14" xfId="46" applyFont="1" applyFill="1" applyBorder="1" applyAlignment="1">
      <alignment horizontal="center" vertical="center"/>
    </xf>
    <xf numFmtId="0" fontId="61" fillId="63" borderId="14" xfId="46" applyFont="1" applyFill="1" applyBorder="1" applyAlignment="1">
      <alignment horizontal="center" vertical="center"/>
    </xf>
    <xf numFmtId="0" fontId="61" fillId="24" borderId="14" xfId="46" applyFont="1" applyFill="1" applyBorder="1" applyAlignment="1">
      <alignment horizontal="center" vertical="center"/>
    </xf>
    <xf numFmtId="0" fontId="61" fillId="62" borderId="14" xfId="46" applyFont="1" applyFill="1" applyBorder="1" applyAlignment="1">
      <alignment horizontal="center" vertical="center"/>
    </xf>
    <xf numFmtId="0" fontId="61" fillId="64" borderId="14" xfId="46" applyFont="1" applyFill="1" applyBorder="1" applyAlignment="1">
      <alignment horizontal="center" vertical="center"/>
    </xf>
    <xf numFmtId="0" fontId="61" fillId="65" borderId="14" xfId="46" applyFont="1" applyFill="1" applyBorder="1" applyAlignment="1">
      <alignment horizontal="center" vertical="center"/>
    </xf>
    <xf numFmtId="0" fontId="61" fillId="68" borderId="14" xfId="46" applyFont="1" applyFill="1" applyBorder="1" applyAlignment="1">
      <alignment horizontal="center" vertical="center"/>
    </xf>
    <xf numFmtId="0" fontId="61" fillId="27" borderId="14" xfId="46" applyFont="1" applyFill="1" applyBorder="1" applyAlignment="1">
      <alignment horizontal="center" vertical="center"/>
    </xf>
    <xf numFmtId="0" fontId="61" fillId="65" borderId="17" xfId="46" applyFont="1" applyFill="1" applyBorder="1" applyAlignment="1">
      <alignment horizontal="center" vertical="center"/>
    </xf>
    <xf numFmtId="0" fontId="61" fillId="65" borderId="36" xfId="46" applyFont="1" applyFill="1" applyBorder="1" applyAlignment="1">
      <alignment horizontal="center" vertical="center"/>
    </xf>
    <xf numFmtId="0" fontId="61" fillId="65" borderId="46" xfId="46" applyFont="1" applyFill="1" applyBorder="1" applyAlignment="1">
      <alignment horizontal="center" vertical="center"/>
    </xf>
    <xf numFmtId="0" fontId="61" fillId="67" borderId="14" xfId="46" applyFont="1" applyFill="1" applyBorder="1" applyAlignment="1">
      <alignment horizontal="center" vertical="center"/>
    </xf>
    <xf numFmtId="0" fontId="61" fillId="67" borderId="17" xfId="46" applyFont="1" applyFill="1" applyBorder="1" applyAlignment="1">
      <alignment horizontal="center" vertical="center"/>
    </xf>
    <xf numFmtId="0" fontId="61" fillId="67" borderId="36" xfId="46" applyFont="1" applyFill="1" applyBorder="1" applyAlignment="1">
      <alignment horizontal="center" vertical="center"/>
    </xf>
    <xf numFmtId="0" fontId="61" fillId="67" borderId="46" xfId="46" applyFont="1" applyFill="1" applyBorder="1" applyAlignment="1">
      <alignment horizontal="center" vertical="center"/>
    </xf>
    <xf numFmtId="0" fontId="27" fillId="31" borderId="61" xfId="0" applyFont="1" applyFill="1" applyBorder="1" applyAlignment="1">
      <alignment horizontal="center" vertical="center" wrapText="1"/>
    </xf>
    <xf numFmtId="0" fontId="27" fillId="31" borderId="76" xfId="0" applyFont="1" applyFill="1" applyBorder="1" applyAlignment="1">
      <alignment horizontal="center" vertical="center" wrapText="1"/>
    </xf>
    <xf numFmtId="0" fontId="27" fillId="31" borderId="51" xfId="0" applyFont="1" applyFill="1" applyBorder="1" applyAlignment="1">
      <alignment horizontal="center" vertical="center" wrapText="1"/>
    </xf>
    <xf numFmtId="0" fontId="27" fillId="27" borderId="67" xfId="0" applyFont="1" applyFill="1" applyBorder="1" applyAlignment="1">
      <alignment horizontal="center" vertical="center"/>
    </xf>
    <xf numFmtId="0" fontId="27" fillId="27" borderId="68" xfId="0" applyFont="1" applyFill="1" applyBorder="1" applyAlignment="1">
      <alignment horizontal="center" vertical="center"/>
    </xf>
    <xf numFmtId="0" fontId="27" fillId="27" borderId="73" xfId="0" applyFont="1" applyFill="1" applyBorder="1" applyAlignment="1">
      <alignment horizontal="center" vertical="center"/>
    </xf>
    <xf numFmtId="0" fontId="27" fillId="63" borderId="53" xfId="0" applyFont="1" applyFill="1" applyBorder="1" applyAlignment="1">
      <alignment horizontal="center" vertical="center"/>
    </xf>
    <xf numFmtId="0" fontId="27" fillId="63" borderId="22" xfId="0" applyFont="1" applyFill="1" applyBorder="1" applyAlignment="1">
      <alignment horizontal="center" vertical="center"/>
    </xf>
    <xf numFmtId="0" fontId="27" fillId="63" borderId="63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left" vertical="center" wrapText="1"/>
    </xf>
    <xf numFmtId="0" fontId="27" fillId="0" borderId="111" xfId="0" applyFont="1" applyFill="1" applyBorder="1" applyAlignment="1">
      <alignment horizontal="left" vertical="center" wrapText="1"/>
    </xf>
    <xf numFmtId="0" fontId="27" fillId="0" borderId="87" xfId="0" applyFont="1" applyFill="1" applyBorder="1" applyAlignment="1">
      <alignment horizontal="left" vertical="center" wrapText="1"/>
    </xf>
    <xf numFmtId="0" fontId="37" fillId="72" borderId="70" xfId="0" applyFont="1" applyFill="1" applyBorder="1" applyAlignment="1">
      <alignment horizontal="right" vertical="center" wrapText="1"/>
    </xf>
    <xf numFmtId="0" fontId="37" fillId="72" borderId="55" xfId="0" applyFont="1" applyFill="1" applyBorder="1" applyAlignment="1">
      <alignment horizontal="right" vertical="center" wrapText="1"/>
    </xf>
    <xf numFmtId="0" fontId="37" fillId="72" borderId="74" xfId="0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31" borderId="11" xfId="0" applyFont="1" applyFill="1" applyBorder="1" applyAlignment="1">
      <alignment horizontal="left" vertical="center" wrapText="1"/>
    </xf>
    <xf numFmtId="0" fontId="27" fillId="31" borderId="14" xfId="0" applyFont="1" applyFill="1" applyBorder="1" applyAlignment="1">
      <alignment horizontal="left" vertical="center" wrapText="1"/>
    </xf>
    <xf numFmtId="0" fontId="27" fillId="31" borderId="2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7" fillId="31" borderId="25" xfId="0" applyFont="1" applyFill="1" applyBorder="1" applyAlignment="1">
      <alignment horizontal="left" vertical="center" wrapText="1"/>
    </xf>
    <xf numFmtId="0" fontId="27" fillId="31" borderId="12" xfId="0" applyFont="1" applyFill="1" applyBorder="1" applyAlignment="1">
      <alignment horizontal="left" vertical="center" wrapText="1"/>
    </xf>
    <xf numFmtId="0" fontId="27" fillId="31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26" fillId="27" borderId="53" xfId="0" applyFont="1" applyFill="1" applyBorder="1" applyAlignment="1">
      <alignment horizontal="right"/>
    </xf>
    <xf numFmtId="0" fontId="26" fillId="27" borderId="39" xfId="0" applyFont="1" applyFill="1" applyBorder="1" applyAlignment="1">
      <alignment horizontal="right"/>
    </xf>
    <xf numFmtId="0" fontId="26" fillId="27" borderId="60" xfId="0" applyFont="1" applyFill="1" applyBorder="1" applyAlignment="1">
      <alignment horizontal="right"/>
    </xf>
    <xf numFmtId="0" fontId="26" fillId="27" borderId="40" xfId="0" applyFont="1" applyFill="1" applyBorder="1" applyAlignment="1">
      <alignment horizontal="right"/>
    </xf>
    <xf numFmtId="0" fontId="27" fillId="63" borderId="67" xfId="0" applyFont="1" applyFill="1" applyBorder="1" applyAlignment="1">
      <alignment horizontal="center" vertical="center"/>
    </xf>
    <xf numFmtId="0" fontId="27" fillId="63" borderId="68" xfId="0" applyFont="1" applyFill="1" applyBorder="1" applyAlignment="1">
      <alignment horizontal="center" vertical="center"/>
    </xf>
    <xf numFmtId="0" fontId="27" fillId="63" borderId="73" xfId="0" applyFont="1" applyFill="1" applyBorder="1" applyAlignment="1">
      <alignment horizontal="center" vertical="center"/>
    </xf>
    <xf numFmtId="0" fontId="27" fillId="27" borderId="60" xfId="0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horizontal="center" vertical="center"/>
    </xf>
    <xf numFmtId="0" fontId="27" fillId="27" borderId="64" xfId="0" applyFont="1" applyFill="1" applyBorder="1" applyAlignment="1">
      <alignment horizontal="center" vertical="center"/>
    </xf>
    <xf numFmtId="0" fontId="27" fillId="31" borderId="67" xfId="0" applyFont="1" applyFill="1" applyBorder="1" applyAlignment="1">
      <alignment horizontal="center" vertical="center" wrapText="1"/>
    </xf>
    <xf numFmtId="0" fontId="27" fillId="31" borderId="68" xfId="0" applyFont="1" applyFill="1" applyBorder="1" applyAlignment="1">
      <alignment horizontal="center" vertical="center" wrapText="1"/>
    </xf>
    <xf numFmtId="0" fontId="27" fillId="31" borderId="73" xfId="0" applyFont="1" applyFill="1" applyBorder="1" applyAlignment="1">
      <alignment horizontal="center" vertical="center" wrapText="1"/>
    </xf>
    <xf numFmtId="0" fontId="26" fillId="27" borderId="63" xfId="0" applyFont="1" applyFill="1" applyBorder="1" applyAlignment="1">
      <alignment horizontal="right"/>
    </xf>
    <xf numFmtId="0" fontId="26" fillId="27" borderId="64" xfId="0" applyFont="1" applyFill="1" applyBorder="1" applyAlignment="1">
      <alignment horizontal="right"/>
    </xf>
    <xf numFmtId="0" fontId="63" fillId="71" borderId="53" xfId="0" applyFont="1" applyFill="1" applyBorder="1" applyAlignment="1">
      <alignment horizontal="right"/>
    </xf>
    <xf numFmtId="0" fontId="63" fillId="71" borderId="60" xfId="0" applyFont="1" applyFill="1" applyBorder="1" applyAlignment="1">
      <alignment horizontal="right"/>
    </xf>
    <xf numFmtId="0" fontId="63" fillId="71" borderId="61" xfId="0" applyFont="1" applyFill="1" applyBorder="1" applyAlignment="1">
      <alignment horizontal="right"/>
    </xf>
    <xf numFmtId="0" fontId="27" fillId="31" borderId="11" xfId="0" applyFont="1" applyFill="1" applyBorder="1" applyAlignment="1">
      <alignment vertical="center" wrapText="1"/>
    </xf>
    <xf numFmtId="0" fontId="27" fillId="31" borderId="14" xfId="0" applyFont="1" applyFill="1" applyBorder="1" applyAlignment="1">
      <alignment vertical="center" wrapText="1"/>
    </xf>
    <xf numFmtId="0" fontId="27" fillId="31" borderId="28" xfId="0" applyFont="1" applyFill="1" applyBorder="1" applyAlignment="1">
      <alignment vertical="center" wrapText="1"/>
    </xf>
    <xf numFmtId="0" fontId="26" fillId="27" borderId="38" xfId="0" applyFont="1" applyFill="1" applyBorder="1" applyAlignment="1">
      <alignment horizontal="right"/>
    </xf>
    <xf numFmtId="0" fontId="27" fillId="63" borderId="77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0" fontId="27" fillId="27" borderId="85" xfId="0" applyFont="1" applyFill="1" applyBorder="1" applyAlignment="1">
      <alignment horizontal="center" vertical="center"/>
    </xf>
    <xf numFmtId="0" fontId="27" fillId="31" borderId="65" xfId="0" applyFont="1" applyFill="1" applyBorder="1" applyAlignment="1">
      <alignment horizontal="center" vertical="center" wrapText="1"/>
    </xf>
    <xf numFmtId="0" fontId="27" fillId="31" borderId="66" xfId="0" applyFont="1" applyFill="1" applyBorder="1" applyAlignment="1">
      <alignment horizontal="center" vertical="center" wrapText="1"/>
    </xf>
    <xf numFmtId="0" fontId="27" fillId="31" borderId="21" xfId="0" applyFont="1" applyFill="1" applyBorder="1" applyAlignment="1">
      <alignment horizontal="center" vertical="center" wrapText="1"/>
    </xf>
    <xf numFmtId="0" fontId="26" fillId="27" borderId="41" xfId="0" applyFont="1" applyFill="1" applyBorder="1" applyAlignment="1">
      <alignment horizontal="right"/>
    </xf>
    <xf numFmtId="0" fontId="26" fillId="27" borderId="42" xfId="0" applyFont="1" applyFill="1" applyBorder="1" applyAlignment="1">
      <alignment horizontal="right"/>
    </xf>
    <xf numFmtId="0" fontId="26" fillId="27" borderId="71" xfId="0" applyFont="1" applyFill="1" applyBorder="1" applyAlignment="1">
      <alignment horizontal="right"/>
    </xf>
    <xf numFmtId="0" fontId="27" fillId="31" borderId="6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 vertical="center" wrapText="1"/>
    </xf>
    <xf numFmtId="0" fontId="27" fillId="31" borderId="64" xfId="0" applyFont="1" applyFill="1" applyBorder="1" applyAlignment="1">
      <alignment horizontal="center" vertical="center" wrapText="1"/>
    </xf>
    <xf numFmtId="167" fontId="27" fillId="0" borderId="17" xfId="0" applyNumberFormat="1" applyFont="1" applyBorder="1" applyAlignment="1">
      <alignment horizontal="center" vertical="center" wrapText="1"/>
    </xf>
    <xf numFmtId="167" fontId="27" fillId="0" borderId="36" xfId="0" applyNumberFormat="1" applyFont="1" applyBorder="1" applyAlignment="1">
      <alignment horizontal="center" vertical="center" wrapText="1"/>
    </xf>
    <xf numFmtId="167" fontId="27" fillId="0" borderId="23" xfId="0" applyNumberFormat="1" applyFont="1" applyBorder="1" applyAlignment="1">
      <alignment horizontal="center" vertical="center" textRotation="90" wrapText="1"/>
    </xf>
    <xf numFmtId="169" fontId="27" fillId="27" borderId="67" xfId="53" quotePrefix="1" applyFont="1" applyFill="1" applyBorder="1" applyAlignment="1">
      <alignment horizontal="center" vertical="center"/>
    </xf>
    <xf numFmtId="169" fontId="27" fillId="27" borderId="68" xfId="53" quotePrefix="1" applyFont="1" applyFill="1" applyBorder="1" applyAlignment="1">
      <alignment horizontal="center" vertical="center"/>
    </xf>
    <xf numFmtId="169" fontId="27" fillId="27" borderId="73" xfId="53" quotePrefix="1" applyFont="1" applyFill="1" applyBorder="1" applyAlignment="1">
      <alignment horizontal="center" vertical="center"/>
    </xf>
    <xf numFmtId="167" fontId="5" fillId="0" borderId="60" xfId="0" applyNumberFormat="1" applyFont="1" applyBorder="1" applyAlignment="1">
      <alignment horizontal="left" vertical="center" wrapText="1"/>
    </xf>
    <xf numFmtId="167" fontId="5" fillId="0" borderId="61" xfId="0" applyNumberFormat="1" applyFont="1" applyBorder="1" applyAlignment="1">
      <alignment horizontal="left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76" xfId="0" applyFont="1" applyBorder="1" applyAlignment="1">
      <alignment horizontal="center" vertical="center" wrapText="1"/>
    </xf>
    <xf numFmtId="167" fontId="27" fillId="0" borderId="64" xfId="0" applyNumberFormat="1" applyFont="1" applyBorder="1" applyAlignment="1">
      <alignment horizontal="right"/>
    </xf>
    <xf numFmtId="167" fontId="27" fillId="0" borderId="51" xfId="0" applyNumberFormat="1" applyFont="1" applyBorder="1" applyAlignment="1">
      <alignment horizontal="right"/>
    </xf>
    <xf numFmtId="0" fontId="27" fillId="0" borderId="57" xfId="0" applyFont="1" applyBorder="1" applyAlignment="1">
      <alignment horizontal="center" vertical="center" textRotation="90" wrapText="1"/>
    </xf>
    <xf numFmtId="0" fontId="27" fillId="0" borderId="66" xfId="0" applyFont="1" applyBorder="1" applyAlignment="1">
      <alignment horizontal="center" vertical="center" textRotation="90" wrapText="1"/>
    </xf>
    <xf numFmtId="0" fontId="27" fillId="0" borderId="112" xfId="0" applyFont="1" applyBorder="1" applyAlignment="1">
      <alignment horizontal="center" vertical="center" textRotation="90"/>
    </xf>
    <xf numFmtId="0" fontId="27" fillId="31" borderId="52" xfId="0" applyFont="1" applyFill="1" applyBorder="1" applyAlignment="1">
      <alignment horizontal="center" vertical="center" wrapText="1"/>
    </xf>
    <xf numFmtId="0" fontId="27" fillId="31" borderId="72" xfId="0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vertical="center" textRotation="90" wrapText="1"/>
    </xf>
    <xf numFmtId="167" fontId="27" fillId="0" borderId="81" xfId="0" applyNumberFormat="1" applyFont="1" applyBorder="1" applyAlignment="1">
      <alignment horizontal="center" vertical="center" wrapText="1"/>
    </xf>
    <xf numFmtId="167" fontId="27" fillId="0" borderId="84" xfId="0" applyNumberFormat="1" applyFont="1" applyBorder="1" applyAlignment="1">
      <alignment horizontal="center" vertical="center" wrapText="1"/>
    </xf>
    <xf numFmtId="167" fontId="27" fillId="0" borderId="15" xfId="0" applyNumberFormat="1" applyFont="1" applyBorder="1" applyAlignment="1">
      <alignment horizontal="center" vertical="center" textRotation="90"/>
    </xf>
    <xf numFmtId="167" fontId="27" fillId="0" borderId="58" xfId="0" applyNumberFormat="1" applyFont="1" applyBorder="1" applyAlignment="1">
      <alignment horizontal="center" vertical="center" textRotation="90"/>
    </xf>
    <xf numFmtId="167" fontId="27" fillId="0" borderId="47" xfId="0" applyNumberFormat="1" applyFont="1" applyBorder="1" applyAlignment="1">
      <alignment horizontal="center" vertical="center" wrapText="1"/>
    </xf>
    <xf numFmtId="0" fontId="26" fillId="27" borderId="43" xfId="0" applyFont="1" applyFill="1" applyBorder="1" applyAlignment="1">
      <alignment horizontal="right"/>
    </xf>
    <xf numFmtId="0" fontId="27" fillId="27" borderId="61" xfId="0" applyFont="1" applyFill="1" applyBorder="1" applyAlignment="1">
      <alignment horizontal="center" vertical="center"/>
    </xf>
    <xf numFmtId="0" fontId="27" fillId="27" borderId="76" xfId="0" applyFont="1" applyFill="1" applyBorder="1" applyAlignment="1">
      <alignment horizontal="center" vertical="center"/>
    </xf>
    <xf numFmtId="0" fontId="26" fillId="27" borderId="51" xfId="0" applyFont="1" applyFill="1" applyBorder="1" applyAlignment="1">
      <alignment horizontal="right"/>
    </xf>
    <xf numFmtId="49" fontId="5" fillId="0" borderId="0" xfId="54" applyNumberFormat="1" applyAlignment="1">
      <alignment horizontal="left" vertical="center" wrapText="1"/>
    </xf>
    <xf numFmtId="165" fontId="24" fillId="0" borderId="0" xfId="54" applyNumberFormat="1" applyFont="1" applyAlignment="1">
      <alignment horizontal="center" vertical="center" wrapText="1"/>
    </xf>
    <xf numFmtId="49" fontId="5" fillId="0" borderId="24" xfId="54" applyNumberFormat="1" applyBorder="1" applyAlignment="1">
      <alignment horizontal="center" vertical="center" wrapText="1"/>
    </xf>
    <xf numFmtId="49" fontId="5" fillId="0" borderId="59" xfId="54" applyNumberFormat="1" applyBorder="1" applyAlignment="1">
      <alignment horizontal="center" vertical="center" wrapText="1"/>
    </xf>
    <xf numFmtId="49" fontId="5" fillId="0" borderId="31" xfId="54" applyNumberFormat="1" applyBorder="1" applyAlignment="1">
      <alignment horizontal="center" vertical="center" wrapText="1"/>
    </xf>
    <xf numFmtId="165" fontId="5" fillId="0" borderId="24" xfId="54" applyNumberFormat="1" applyBorder="1" applyAlignment="1">
      <alignment horizontal="left" vertical="center" wrapText="1"/>
    </xf>
    <xf numFmtId="165" fontId="5" fillId="0" borderId="59" xfId="54" applyNumberFormat="1" applyBorder="1" applyAlignment="1">
      <alignment horizontal="left" vertical="center" wrapText="1"/>
    </xf>
    <xf numFmtId="165" fontId="5" fillId="0" borderId="31" xfId="54" applyNumberFormat="1" applyBorder="1" applyAlignment="1">
      <alignment horizontal="left" vertical="center" wrapText="1"/>
    </xf>
    <xf numFmtId="49" fontId="5" fillId="0" borderId="14" xfId="54" applyNumberFormat="1" applyBorder="1" applyAlignment="1">
      <alignment horizontal="center" vertical="center" wrapText="1"/>
    </xf>
    <xf numFmtId="165" fontId="5" fillId="0" borderId="14" xfId="54" applyNumberFormat="1" applyBorder="1" applyAlignment="1">
      <alignment horizontal="left" vertical="center" wrapText="1"/>
    </xf>
  </cellXfs>
  <cellStyles count="62">
    <cellStyle name="1 antraštė" xfId="1"/>
    <cellStyle name="2 antraštė" xfId="2"/>
    <cellStyle name="20% – paryškinimas 1" xfId="3"/>
    <cellStyle name="20% – paryškinimas 2" xfId="4"/>
    <cellStyle name="20% – paryškinimas 3" xfId="5"/>
    <cellStyle name="20% – paryškinimas 4" xfId="6"/>
    <cellStyle name="20% – paryškinimas 5" xfId="7"/>
    <cellStyle name="20% – paryškinimas 6" xfId="8"/>
    <cellStyle name="3 antraštė" xfId="9"/>
    <cellStyle name="4 antraštė" xfId="10"/>
    <cellStyle name="40% – paryškinimas 1" xfId="11"/>
    <cellStyle name="40% – paryškinimas 2" xfId="12"/>
    <cellStyle name="40% – paryškinimas 3" xfId="13"/>
    <cellStyle name="40% – paryškinimas 4" xfId="14"/>
    <cellStyle name="40% – paryškinimas 5" xfId="15"/>
    <cellStyle name="40% – paryškinimas 6" xfId="16"/>
    <cellStyle name="60% – paryškinimas 1" xfId="17"/>
    <cellStyle name="60% – paryškinimas 2" xfId="18"/>
    <cellStyle name="60% – paryškinimas 3" xfId="19"/>
    <cellStyle name="60% – paryškinimas 4" xfId="20"/>
    <cellStyle name="60% – paryškinimas 5" xfId="21"/>
    <cellStyle name="60% – paryškinimas 6" xfId="22"/>
    <cellStyle name="Aiškinamasis tekstas" xfId="23"/>
    <cellStyle name="Blogas" xfId="24"/>
    <cellStyle name="Blogas 2" xfId="49"/>
    <cellStyle name="Geras" xfId="25"/>
    <cellStyle name="Įprastas" xfId="0" builtinId="0"/>
    <cellStyle name="Įprastas 2" xfId="43"/>
    <cellStyle name="Įprastas 2 2" xfId="46"/>
    <cellStyle name="Įprastas 2 3" xfId="52"/>
    <cellStyle name="Įprastas 3" xfId="48"/>
    <cellStyle name="Įprastas 4" xfId="50"/>
    <cellStyle name="Įprastas 4 2" xfId="51"/>
    <cellStyle name="Įprastas 4 2 2" xfId="56"/>
    <cellStyle name="Įprastas 4 2 2 2" xfId="57"/>
    <cellStyle name="Įprastas 4 2 2 3" xfId="61"/>
    <cellStyle name="Įprastas 5" xfId="59"/>
    <cellStyle name="Įspėjimo tekstas" xfId="27"/>
    <cellStyle name="Išvestis" xfId="26"/>
    <cellStyle name="Įvestis" xfId="28"/>
    <cellStyle name="Kablelis 2" xfId="53"/>
    <cellStyle name="Kablelis 3" xfId="55"/>
    <cellStyle name="Neutralus" xfId="29"/>
    <cellStyle name="Normal 2" xfId="30"/>
    <cellStyle name="Normal 2 2" xfId="44"/>
    <cellStyle name="Normal 2 2 2" xfId="47"/>
    <cellStyle name="Paprastas_programos ir tikslai" xfId="54"/>
    <cellStyle name="Paryškinimas 1" xfId="31"/>
    <cellStyle name="Paryškinimas 2" xfId="32"/>
    <cellStyle name="Paryškinimas 3" xfId="33"/>
    <cellStyle name="Paryškinimas 4" xfId="34"/>
    <cellStyle name="Paryškinimas 5" xfId="35"/>
    <cellStyle name="Paryškinimas 6" xfId="36"/>
    <cellStyle name="Pastaba" xfId="37"/>
    <cellStyle name="Pastaba 2" xfId="45"/>
    <cellStyle name="Pavadinimas" xfId="38"/>
    <cellStyle name="Procentai" xfId="58" builtinId="5"/>
    <cellStyle name="Procentai 2" xfId="60"/>
    <cellStyle name="Skaičiavimas" xfId="39"/>
    <cellStyle name="Suma" xfId="40"/>
    <cellStyle name="Susietas langelis" xfId="41"/>
    <cellStyle name="Tikrinimo langelis" xfId="42"/>
  </cellStyles>
  <dxfs count="0"/>
  <tableStyles count="0" defaultTableStyle="TableStyleMedium2" defaultPivotStyle="PivotStyleLight16"/>
  <colors>
    <mruColors>
      <color rgb="FFFF99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/>
              <a:t>202</a:t>
            </a:r>
            <a:r>
              <a:rPr lang="en-US"/>
              <a:t>2</a:t>
            </a:r>
            <a:r>
              <a:rPr lang="lt-LT"/>
              <a:t> m. asignavimų pasiskirstymas pagal strateginius tikslus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707646973576158E-2"/>
          <c:y val="0.12721943701991395"/>
          <c:w val="0.98829235057709197"/>
          <c:h val="0.8648672493919911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7A7-4D35-AE25-167658C515CB}"/>
              </c:ext>
            </c:extLst>
          </c:dPt>
          <c:dPt>
            <c:idx val="1"/>
            <c:bubble3D val="0"/>
            <c:explosion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03-97A7-4D35-AE25-167658C515CB}"/>
              </c:ext>
            </c:extLst>
          </c:dPt>
          <c:dPt>
            <c:idx val="2"/>
            <c:bubble3D val="0"/>
            <c:explosion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05-97A7-4D35-AE25-167658C515CB}"/>
              </c:ext>
            </c:extLst>
          </c:dPt>
          <c:dPt>
            <c:idx val="3"/>
            <c:bubble3D val="0"/>
            <c:explosion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07-97A7-4D35-AE25-167658C515C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lt-L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m. tikslai'!$D$16:$D$19</c:f>
              <c:strCache>
                <c:ptCount val="4"/>
                <c:pt idx="0">
                  <c:v>Sudaryti palankias sąlygas sumaniems ir veikliems žmonėms gyventi ir veikti Klaipėdos rajone</c:v>
                </c:pt>
                <c:pt idx="1">
                  <c:v>Kelti rajono gyventojų gyvenimo kokybę kuriant bei palaikant saugią ir švarią aplinką</c:v>
                </c:pt>
                <c:pt idx="2">
                  <c:v>Puoselėti kultūrą ir kūno kultūrą rajone</c:v>
                </c:pt>
                <c:pt idx="3">
                  <c:v>Plėtoti vietos savivaldą</c:v>
                </c:pt>
              </c:strCache>
            </c:strRef>
          </c:cat>
          <c:val>
            <c:numRef>
              <c:f>'2022 m. tikslai'!$E$16:$E$19</c:f>
              <c:numCache>
                <c:formatCode>#\ ##0.0</c:formatCode>
                <c:ptCount val="4"/>
                <c:pt idx="0">
                  <c:v>55983.732000000004</c:v>
                </c:pt>
                <c:pt idx="1">
                  <c:v>42678.599999999991</c:v>
                </c:pt>
                <c:pt idx="2">
                  <c:v>10530.099999999999</c:v>
                </c:pt>
                <c:pt idx="3">
                  <c:v>14774.900000000003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7A7-4D35-AE25-167658C51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lt-LT" sz="1800" b="1"/>
              <a:t>Asignavimų</a:t>
            </a:r>
            <a:r>
              <a:rPr lang="lt-LT" sz="1800" b="1" baseline="0"/>
              <a:t> pasiskirstymas pagal programas 202</a:t>
            </a:r>
            <a:r>
              <a:rPr lang="en-US" sz="1800" b="1" baseline="0"/>
              <a:t>2</a:t>
            </a:r>
            <a:r>
              <a:rPr lang="lt-LT" sz="1800" b="1" baseline="0"/>
              <a:t>-aisiais metais</a:t>
            </a:r>
            <a:endParaRPr lang="lt-LT" sz="1800" b="1"/>
          </a:p>
        </c:rich>
      </c:tx>
      <c:layout>
        <c:manualLayout>
          <c:xMode val="edge"/>
          <c:yMode val="edge"/>
          <c:x val="0.15187217126995861"/>
          <c:y val="1.3460015275880853E-2"/>
        </c:manualLayout>
      </c:layout>
      <c:overlay val="0"/>
    </c:title>
    <c:autoTitleDeleted val="0"/>
    <c:view3D>
      <c:rotX val="30"/>
      <c:rotY val="2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988833270919755E-2"/>
          <c:y val="7.1753298878877311E-2"/>
          <c:w val="0.9101589081959941"/>
          <c:h val="0.82207195750015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05-4CD7-9A9B-87BD6CBB42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05-4CD7-9A9B-87BD6CBB42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05-4CD7-9A9B-87BD6CBB42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F05-4CD7-9A9B-87BD6CBB42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F05-4CD7-9A9B-87BD6CBB428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F05-4CD7-9A9B-87BD6CBB428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F05-4CD7-9A9B-87BD6CBB428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F05-4CD7-9A9B-87BD6CBB428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F05-4CD7-9A9B-87BD6CBB428A}"/>
              </c:ext>
            </c:extLst>
          </c:dPt>
          <c:dLbls>
            <c:dLbl>
              <c:idx val="0"/>
              <c:layout>
                <c:manualLayout>
                  <c:x val="5.7413453164614707E-2"/>
                  <c:y val="0.160838091114899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05-4CD7-9A9B-87BD6CBB42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lt-L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m. tikslai'!$D$3:$D$11</c:f>
              <c:strCache>
                <c:ptCount val="9"/>
                <c:pt idx="0">
                  <c:v>Žinių visuomenės plėtros programa</c:v>
                </c:pt>
                <c:pt idx="1">
                  <c:v>Ekonominio konkurencingumo didinimo programa</c:v>
                </c:pt>
                <c:pt idx="2">
                  <c:v>Susisiekimo ir inžinerinės infrastruktūros plėtros programa</c:v>
                </c:pt>
                <c:pt idx="3">
                  <c:v>Aplinkos apsaugos programa</c:v>
                </c:pt>
                <c:pt idx="4">
                  <c:v>Sveikatos apsaugos programa</c:v>
                </c:pt>
                <c:pt idx="5">
                  <c:v>Socialinės apsaugos ir NVO programa</c:v>
                </c:pt>
                <c:pt idx="6">
                  <c:v>Kultūros paveldo puoselėjimo ir kultūros paslaugų plėtros programa</c:v>
                </c:pt>
                <c:pt idx="7">
                  <c:v>Kūno kultūros ir sporto plėtros programa</c:v>
                </c:pt>
                <c:pt idx="8">
                  <c:v>Savivaldybės valdymo ir pagrindinių funkcijų vykdymo programa</c:v>
                </c:pt>
              </c:strCache>
            </c:strRef>
          </c:cat>
          <c:val>
            <c:numRef>
              <c:f>'2022 m. tikslai'!$E$3:$E$11</c:f>
              <c:numCache>
                <c:formatCode>#\ ##0.0</c:formatCode>
                <c:ptCount val="9"/>
                <c:pt idx="0">
                  <c:v>40970.300000000003</c:v>
                </c:pt>
                <c:pt idx="1">
                  <c:v>2252.7000000000003</c:v>
                </c:pt>
                <c:pt idx="2">
                  <c:v>12760.732</c:v>
                </c:pt>
                <c:pt idx="3">
                  <c:v>11150.9</c:v>
                </c:pt>
                <c:pt idx="4">
                  <c:v>1869.6999999999996</c:v>
                </c:pt>
                <c:pt idx="5">
                  <c:v>29657.999999999993</c:v>
                </c:pt>
                <c:pt idx="6">
                  <c:v>7267.4999999999991</c:v>
                </c:pt>
                <c:pt idx="7">
                  <c:v>3262.6000000000004</c:v>
                </c:pt>
                <c:pt idx="8">
                  <c:v>14774.900000000003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BF05-4CD7-9A9B-87BD6CBB4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>
      <a:glow>
        <a:schemeClr val="accent1"/>
      </a:glow>
      <a:softEdge rad="38100"/>
    </a:effectLst>
    <a:scene3d>
      <a:camera prst="orthographicFront"/>
      <a:lightRig rig="threePt" dir="t"/>
    </a:scene3d>
    <a:sp3d prstMaterial="matte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1083609</xdr:colOff>
      <xdr:row>20</xdr:row>
      <xdr:rowOff>129429</xdr:rowOff>
    </xdr:from>
    <xdr:to>
      <xdr:col>7</xdr:col>
      <xdr:colOff>503705</xdr:colOff>
      <xdr:row>52</xdr:row>
      <xdr:rowOff>138953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44B4F50-1C0A-43B4-91DD-5C525FA3A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575422</xdr:colOff>
      <xdr:row>2</xdr:row>
      <xdr:rowOff>56590</xdr:rowOff>
    </xdr:from>
    <xdr:to>
      <xdr:col>24</xdr:col>
      <xdr:colOff>217954</xdr:colOff>
      <xdr:row>24</xdr:row>
      <xdr:rowOff>137272</xdr:rowOff>
    </xdr:to>
    <xdr:graphicFrame macro="">
      <xdr:nvGraphicFramePr>
        <xdr:cNvPr id="3" name="Diagrama 3">
          <a:extLst>
            <a:ext uri="{FF2B5EF4-FFF2-40B4-BE49-F238E27FC236}">
              <a16:creationId xmlns="" xmlns:a16="http://schemas.microsoft.com/office/drawing/2014/main" id="{B6C63648-804E-450D-90DF-6A0833FCC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ima Kaveckienė" id="{12F45FD1-A2BC-4056-AADA-26069EA46AF7}" userId="S::laima.kaveckiene@klaipedos-r.lt::608cec09-6308-4da8-b7be-f4d5b9d48e76" providerId="AD"/>
  <person displayName="Mindaugas Šatkus" id="{FDA3F8C4-29A5-4063-8D87-BBFE5364A1DB}" userId="S::mindaugas.satkus@klaipedos-r.lt::bd5208a8-e6ae-43aa-a1aa-b5dad695a69c" providerId="AD"/>
</personList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500"/>
  <sheetViews>
    <sheetView showZeros="0" topLeftCell="A307" zoomScale="115" zoomScaleNormal="115" zoomScaleSheetLayoutView="100" workbookViewId="0">
      <selection activeCell="K336" sqref="K336"/>
    </sheetView>
  </sheetViews>
  <sheetFormatPr defaultColWidth="9.28515625" defaultRowHeight="24" customHeight="1" x14ac:dyDescent="0.2"/>
  <cols>
    <col min="1" max="1" width="3.5703125" style="535" customWidth="1"/>
    <col min="2" max="3" width="2.5703125" style="535" customWidth="1"/>
    <col min="4" max="4" width="17.5703125" style="339" customWidth="1"/>
    <col min="5" max="5" width="7.28515625" style="539" customWidth="1"/>
    <col min="6" max="6" width="10" style="535" customWidth="1"/>
    <col min="7" max="7" width="7.42578125" style="535" customWidth="1"/>
    <col min="8" max="8" width="5.7109375" style="535" customWidth="1"/>
    <col min="9" max="9" width="8.28515625" style="341" customWidth="1"/>
    <col min="10" max="10" width="8" style="341" customWidth="1"/>
    <col min="11" max="12" width="8.28515625" style="341" customWidth="1"/>
    <col min="13" max="13" width="7.7109375" style="342" customWidth="1"/>
    <col min="14" max="14" width="7.42578125" style="342" customWidth="1"/>
    <col min="15" max="15" width="9" style="342" customWidth="1"/>
    <col min="16" max="16" width="7.42578125" style="342" customWidth="1"/>
    <col min="17" max="17" width="7.7109375" style="342" customWidth="1"/>
    <col min="18" max="18" width="7.5703125" style="342" customWidth="1"/>
    <col min="19" max="19" width="9" style="342" customWidth="1"/>
    <col min="20" max="20" width="7.42578125" style="342" customWidth="1"/>
    <col min="21" max="21" width="7.7109375" style="342" customWidth="1"/>
    <col min="22" max="22" width="7.5703125" style="342" customWidth="1"/>
    <col min="23" max="23" width="9" style="342" customWidth="1"/>
    <col min="24" max="24" width="7.42578125" style="342" customWidth="1"/>
    <col min="25" max="33" width="9.28515625" style="339" customWidth="1"/>
    <col min="34" max="16384" width="9.28515625" style="339"/>
  </cols>
  <sheetData>
    <row r="1" spans="1:59" s="338" customFormat="1" ht="51" customHeight="1" x14ac:dyDescent="0.2">
      <c r="A1" s="2324"/>
      <c r="B1" s="2325"/>
      <c r="C1" s="2326"/>
      <c r="D1" s="2327"/>
      <c r="E1" s="2328"/>
      <c r="F1" s="2328"/>
      <c r="G1" s="2328"/>
      <c r="H1" s="2328"/>
      <c r="I1" s="2328"/>
      <c r="J1" s="2325"/>
      <c r="K1" s="2325"/>
      <c r="L1" s="2329"/>
      <c r="M1" s="2329"/>
      <c r="N1" s="2329"/>
      <c r="O1" s="2329"/>
      <c r="P1" s="2329"/>
      <c r="Q1" s="2676"/>
      <c r="R1" s="2676"/>
      <c r="S1" s="2676"/>
      <c r="T1" s="2676"/>
      <c r="U1" s="2676" t="s">
        <v>0</v>
      </c>
      <c r="V1" s="2676"/>
      <c r="W1" s="2676"/>
      <c r="X1" s="2677"/>
    </row>
    <row r="2" spans="1:59" ht="24" customHeight="1" x14ac:dyDescent="0.25">
      <c r="A2" s="2678" t="s">
        <v>1</v>
      </c>
      <c r="B2" s="2679"/>
      <c r="C2" s="2679"/>
      <c r="D2" s="2679"/>
      <c r="E2" s="2679"/>
      <c r="F2" s="2679"/>
      <c r="G2" s="2679"/>
      <c r="H2" s="2679"/>
      <c r="I2" s="2679"/>
      <c r="J2" s="2679"/>
      <c r="K2" s="2679"/>
      <c r="L2" s="2679"/>
      <c r="M2" s="2679"/>
      <c r="N2" s="2679"/>
      <c r="O2" s="2679"/>
      <c r="P2" s="2679"/>
      <c r="Q2" s="2679"/>
      <c r="R2" s="2679"/>
      <c r="S2" s="2679"/>
      <c r="T2" s="2679"/>
      <c r="U2" s="2679"/>
      <c r="V2" s="2679"/>
      <c r="W2" s="2679"/>
      <c r="X2" s="2680"/>
    </row>
    <row r="3" spans="1:59" ht="18" customHeight="1" thickBot="1" x14ac:dyDescent="0.25">
      <c r="A3" s="2141"/>
      <c r="B3" s="2330"/>
      <c r="C3" s="2681"/>
      <c r="D3" s="2681"/>
      <c r="E3" s="2681"/>
      <c r="F3" s="2681"/>
      <c r="G3" s="2681"/>
      <c r="H3" s="2681"/>
      <c r="I3" s="2239"/>
      <c r="J3" s="2239"/>
      <c r="K3" s="2239"/>
      <c r="L3" s="2239"/>
      <c r="M3" s="2240"/>
      <c r="N3" s="2240"/>
      <c r="O3" s="2682"/>
      <c r="P3" s="2682"/>
      <c r="Q3" s="2240"/>
      <c r="R3" s="2240"/>
      <c r="S3" s="2682"/>
      <c r="T3" s="2682"/>
      <c r="U3" s="2240"/>
      <c r="V3" s="2240"/>
      <c r="W3" s="2682" t="s">
        <v>2</v>
      </c>
      <c r="X3" s="2683"/>
    </row>
    <row r="4" spans="1:59" s="337" customFormat="1" ht="24" customHeight="1" x14ac:dyDescent="0.2">
      <c r="A4" s="2659" t="s">
        <v>3</v>
      </c>
      <c r="B4" s="2650" t="s">
        <v>4</v>
      </c>
      <c r="C4" s="2663" t="s">
        <v>5</v>
      </c>
      <c r="D4" s="2667" t="s">
        <v>6</v>
      </c>
      <c r="E4" s="2663" t="s">
        <v>7</v>
      </c>
      <c r="F4" s="2672" t="s">
        <v>8</v>
      </c>
      <c r="G4" s="2650" t="s">
        <v>9</v>
      </c>
      <c r="H4" s="2650" t="s">
        <v>10</v>
      </c>
      <c r="I4" s="2653" t="s">
        <v>11</v>
      </c>
      <c r="J4" s="2654"/>
      <c r="K4" s="2654"/>
      <c r="L4" s="2655"/>
      <c r="M4" s="2656" t="s">
        <v>12</v>
      </c>
      <c r="N4" s="2654"/>
      <c r="O4" s="2654"/>
      <c r="P4" s="2655"/>
      <c r="Q4" s="2656" t="s">
        <v>13</v>
      </c>
      <c r="R4" s="2654"/>
      <c r="S4" s="2654"/>
      <c r="T4" s="2655"/>
      <c r="U4" s="2656" t="s">
        <v>14</v>
      </c>
      <c r="V4" s="2654"/>
      <c r="W4" s="2654"/>
      <c r="X4" s="2655"/>
    </row>
    <row r="5" spans="1:59" s="337" customFormat="1" ht="12.75" customHeight="1" x14ac:dyDescent="0.2">
      <c r="A5" s="2660"/>
      <c r="B5" s="2651"/>
      <c r="C5" s="2664"/>
      <c r="D5" s="2668"/>
      <c r="E5" s="2664"/>
      <c r="F5" s="2673"/>
      <c r="G5" s="2651"/>
      <c r="H5" s="2651"/>
      <c r="I5" s="2657" t="s">
        <v>15</v>
      </c>
      <c r="J5" s="2646" t="s">
        <v>16</v>
      </c>
      <c r="K5" s="2646"/>
      <c r="L5" s="2647"/>
      <c r="M5" s="2644" t="s">
        <v>15</v>
      </c>
      <c r="N5" s="2646" t="s">
        <v>16</v>
      </c>
      <c r="O5" s="2646"/>
      <c r="P5" s="2647"/>
      <c r="Q5" s="2644" t="s">
        <v>15</v>
      </c>
      <c r="R5" s="2646" t="s">
        <v>16</v>
      </c>
      <c r="S5" s="2646"/>
      <c r="T5" s="2647"/>
      <c r="U5" s="2644" t="s">
        <v>15</v>
      </c>
      <c r="V5" s="2646" t="s">
        <v>16</v>
      </c>
      <c r="W5" s="2646"/>
      <c r="X5" s="2647"/>
    </row>
    <row r="6" spans="1:59" s="337" customFormat="1" ht="12.75" customHeight="1" x14ac:dyDescent="0.2">
      <c r="A6" s="2661"/>
      <c r="B6" s="2651"/>
      <c r="C6" s="2665"/>
      <c r="D6" s="2668"/>
      <c r="E6" s="2670"/>
      <c r="F6" s="2674"/>
      <c r="G6" s="2651"/>
      <c r="H6" s="2651"/>
      <c r="I6" s="2657"/>
      <c r="J6" s="344" t="s">
        <v>17</v>
      </c>
      <c r="K6" s="344"/>
      <c r="L6" s="2648" t="s">
        <v>18</v>
      </c>
      <c r="M6" s="2644"/>
      <c r="N6" s="344" t="s">
        <v>17</v>
      </c>
      <c r="O6" s="344"/>
      <c r="P6" s="2648" t="s">
        <v>18</v>
      </c>
      <c r="Q6" s="2644"/>
      <c r="R6" s="344" t="s">
        <v>17</v>
      </c>
      <c r="S6" s="344"/>
      <c r="T6" s="2648" t="s">
        <v>18</v>
      </c>
      <c r="U6" s="2644"/>
      <c r="V6" s="344" t="s">
        <v>17</v>
      </c>
      <c r="W6" s="344"/>
      <c r="X6" s="2648" t="s">
        <v>18</v>
      </c>
    </row>
    <row r="7" spans="1:59" s="337" customFormat="1" ht="53.25" customHeight="1" thickBot="1" x14ac:dyDescent="0.25">
      <c r="A7" s="2662"/>
      <c r="B7" s="2651"/>
      <c r="C7" s="2666"/>
      <c r="D7" s="2669"/>
      <c r="E7" s="2671"/>
      <c r="F7" s="2675"/>
      <c r="G7" s="2651"/>
      <c r="H7" s="2652"/>
      <c r="I7" s="2658"/>
      <c r="J7" s="345" t="s">
        <v>15</v>
      </c>
      <c r="K7" s="346" t="s">
        <v>19</v>
      </c>
      <c r="L7" s="2649"/>
      <c r="M7" s="2645"/>
      <c r="N7" s="345" t="s">
        <v>15</v>
      </c>
      <c r="O7" s="346" t="s">
        <v>19</v>
      </c>
      <c r="P7" s="2649"/>
      <c r="Q7" s="2645"/>
      <c r="R7" s="345" t="s">
        <v>15</v>
      </c>
      <c r="S7" s="346" t="s">
        <v>19</v>
      </c>
      <c r="T7" s="2649"/>
      <c r="U7" s="2645"/>
      <c r="V7" s="345" t="s">
        <v>15</v>
      </c>
      <c r="W7" s="346" t="s">
        <v>19</v>
      </c>
      <c r="X7" s="2649"/>
    </row>
    <row r="8" spans="1:59" ht="16.5" customHeight="1" thickBot="1" x14ac:dyDescent="0.25">
      <c r="A8" s="2634" t="s">
        <v>20</v>
      </c>
      <c r="B8" s="2635"/>
      <c r="C8" s="2635"/>
      <c r="D8" s="2635"/>
      <c r="E8" s="2635"/>
      <c r="F8" s="2635"/>
      <c r="G8" s="2635"/>
      <c r="H8" s="2635"/>
      <c r="I8" s="2635"/>
      <c r="J8" s="2635"/>
      <c r="K8" s="2635"/>
      <c r="L8" s="2635"/>
      <c r="M8" s="2635"/>
      <c r="N8" s="2635"/>
      <c r="O8" s="2635"/>
      <c r="P8" s="2635"/>
      <c r="Q8" s="2635"/>
      <c r="R8" s="2635"/>
      <c r="S8" s="2635"/>
      <c r="T8" s="2635"/>
      <c r="U8" s="2635"/>
      <c r="V8" s="2635"/>
      <c r="W8" s="2635"/>
      <c r="X8" s="2636"/>
    </row>
    <row r="9" spans="1:59" ht="16.5" customHeight="1" thickBot="1" x14ac:dyDescent="0.25">
      <c r="A9" s="2637" t="s">
        <v>21</v>
      </c>
      <c r="B9" s="2635"/>
      <c r="C9" s="2635"/>
      <c r="D9" s="2635"/>
      <c r="E9" s="2635"/>
      <c r="F9" s="2635"/>
      <c r="G9" s="2635"/>
      <c r="H9" s="2635"/>
      <c r="I9" s="2635"/>
      <c r="J9" s="2635"/>
      <c r="K9" s="2635"/>
      <c r="L9" s="2635"/>
      <c r="M9" s="2635"/>
      <c r="N9" s="2635"/>
      <c r="O9" s="2635"/>
      <c r="P9" s="2635"/>
      <c r="Q9" s="2635"/>
      <c r="R9" s="2635"/>
      <c r="S9" s="2635"/>
      <c r="T9" s="2635"/>
      <c r="U9" s="2635"/>
      <c r="V9" s="2635"/>
      <c r="W9" s="2635"/>
      <c r="X9" s="2636"/>
    </row>
    <row r="10" spans="1:59" ht="16.5" customHeight="1" thickBot="1" x14ac:dyDescent="0.25">
      <c r="A10" s="18">
        <v>1</v>
      </c>
      <c r="B10" s="2638" t="s">
        <v>22</v>
      </c>
      <c r="C10" s="2639"/>
      <c r="D10" s="2639"/>
      <c r="E10" s="2639"/>
      <c r="F10" s="2639"/>
      <c r="G10" s="2639"/>
      <c r="H10" s="2639"/>
      <c r="I10" s="2639"/>
      <c r="J10" s="2639"/>
      <c r="K10" s="2639"/>
      <c r="L10" s="2639"/>
      <c r="M10" s="2639"/>
      <c r="N10" s="2639"/>
      <c r="O10" s="2639"/>
      <c r="P10" s="2639"/>
      <c r="Q10" s="2639"/>
      <c r="R10" s="2639"/>
      <c r="S10" s="2639"/>
      <c r="T10" s="2639"/>
      <c r="U10" s="2639"/>
      <c r="V10" s="2639"/>
      <c r="W10" s="2639"/>
      <c r="X10" s="2640"/>
    </row>
    <row r="11" spans="1:59" ht="16.5" customHeight="1" thickBot="1" x14ac:dyDescent="0.25">
      <c r="A11" s="20">
        <v>1</v>
      </c>
      <c r="B11" s="19">
        <v>1</v>
      </c>
      <c r="C11" s="2641" t="s">
        <v>23</v>
      </c>
      <c r="D11" s="2642"/>
      <c r="E11" s="2642"/>
      <c r="F11" s="2642"/>
      <c r="G11" s="2642"/>
      <c r="H11" s="2642"/>
      <c r="I11" s="2642"/>
      <c r="J11" s="2642"/>
      <c r="K11" s="2642"/>
      <c r="L11" s="2642"/>
      <c r="M11" s="2642"/>
      <c r="N11" s="2642"/>
      <c r="O11" s="2642"/>
      <c r="P11" s="2642"/>
      <c r="Q11" s="2642"/>
      <c r="R11" s="2642"/>
      <c r="S11" s="2642"/>
      <c r="T11" s="2642"/>
      <c r="U11" s="2642"/>
      <c r="V11" s="2642"/>
      <c r="W11" s="2642"/>
      <c r="X11" s="2643"/>
    </row>
    <row r="12" spans="1:59" ht="11.25" x14ac:dyDescent="0.2">
      <c r="A12" s="2626">
        <v>1</v>
      </c>
      <c r="B12" s="2629">
        <v>1</v>
      </c>
      <c r="C12" s="2581">
        <v>1</v>
      </c>
      <c r="D12" s="2565" t="s">
        <v>24</v>
      </c>
      <c r="E12" s="2630" t="s">
        <v>25</v>
      </c>
      <c r="F12" s="2581" t="s">
        <v>26</v>
      </c>
      <c r="G12" s="2581" t="s">
        <v>27</v>
      </c>
      <c r="H12" s="347" t="s">
        <v>28</v>
      </c>
      <c r="I12" s="2084">
        <f>J12+L12</f>
        <v>1685.1000000000001</v>
      </c>
      <c r="J12" s="2383">
        <v>1682.7</v>
      </c>
      <c r="K12" s="2383">
        <v>1602.2</v>
      </c>
      <c r="L12" s="2384">
        <v>2.4</v>
      </c>
      <c r="M12" s="2084">
        <f>N12+P12</f>
        <v>1913.4</v>
      </c>
      <c r="N12" s="2082">
        <v>1913.4</v>
      </c>
      <c r="O12" s="2082">
        <v>1804.7</v>
      </c>
      <c r="P12" s="2083"/>
      <c r="Q12" s="2084">
        <v>1913.4</v>
      </c>
      <c r="R12" s="2082">
        <v>1913.4</v>
      </c>
      <c r="S12" s="2082">
        <v>1808.7</v>
      </c>
      <c r="T12" s="2083"/>
      <c r="U12" s="2084">
        <f>V12+X12</f>
        <v>1913.4</v>
      </c>
      <c r="V12" s="2082">
        <v>1913.4</v>
      </c>
      <c r="W12" s="2082">
        <v>1808.7</v>
      </c>
      <c r="X12" s="2083"/>
    </row>
    <row r="13" spans="1:59" ht="23.25" customHeight="1" x14ac:dyDescent="0.2">
      <c r="A13" s="2627"/>
      <c r="B13" s="2542"/>
      <c r="C13" s="2531"/>
      <c r="D13" s="2528"/>
      <c r="E13" s="2631"/>
      <c r="F13" s="2531"/>
      <c r="G13" s="2531"/>
      <c r="H13" s="2091" t="s">
        <v>29</v>
      </c>
      <c r="I13" s="348">
        <v>33</v>
      </c>
      <c r="J13" s="349">
        <v>33</v>
      </c>
      <c r="K13" s="349"/>
      <c r="L13" s="350"/>
      <c r="M13" s="2037"/>
      <c r="N13" s="2038"/>
      <c r="O13" s="2038"/>
      <c r="P13" s="353"/>
      <c r="Q13" s="351"/>
      <c r="R13" s="352"/>
      <c r="S13" s="349"/>
      <c r="T13" s="350"/>
      <c r="U13" s="348"/>
      <c r="V13" s="349"/>
      <c r="W13" s="349"/>
      <c r="X13" s="350"/>
    </row>
    <row r="14" spans="1:59" ht="11.25" x14ac:dyDescent="0.2">
      <c r="A14" s="2628"/>
      <c r="B14" s="2545"/>
      <c r="C14" s="2530"/>
      <c r="D14" s="2528"/>
      <c r="E14" s="2632"/>
      <c r="F14" s="2530"/>
      <c r="G14" s="2530"/>
      <c r="H14" s="2092" t="s">
        <v>30</v>
      </c>
      <c r="I14" s="2122">
        <f t="shared" ref="I14:I17" si="0">J14+L14</f>
        <v>625.4</v>
      </c>
      <c r="J14" s="2380">
        <v>606</v>
      </c>
      <c r="K14" s="2380">
        <v>476.3</v>
      </c>
      <c r="L14" s="2381">
        <v>19.399999999999999</v>
      </c>
      <c r="M14" s="2017">
        <f>N14+P14</f>
        <v>711.5</v>
      </c>
      <c r="N14" s="1553">
        <v>711.5</v>
      </c>
      <c r="O14" s="1553">
        <v>589.79999999999995</v>
      </c>
      <c r="P14" s="2080"/>
      <c r="Q14" s="2122">
        <v>692.9</v>
      </c>
      <c r="R14" s="2079">
        <v>692.9</v>
      </c>
      <c r="S14" s="2079">
        <v>572.29999999999995</v>
      </c>
      <c r="T14" s="2080"/>
      <c r="U14" s="2122">
        <v>692.9</v>
      </c>
      <c r="V14" s="2079">
        <v>692.9</v>
      </c>
      <c r="W14" s="2079">
        <v>572.29999999999995</v>
      </c>
      <c r="X14" s="2080"/>
    </row>
    <row r="15" spans="1:59" s="358" customFormat="1" ht="21" customHeight="1" x14ac:dyDescent="0.2">
      <c r="A15" s="2628"/>
      <c r="B15" s="2545"/>
      <c r="C15" s="2530"/>
      <c r="D15" s="2528"/>
      <c r="E15" s="2632"/>
      <c r="F15" s="2510"/>
      <c r="G15" s="2510"/>
      <c r="H15" s="2093" t="s">
        <v>31</v>
      </c>
      <c r="I15" s="2123">
        <f t="shared" si="0"/>
        <v>16.5</v>
      </c>
      <c r="J15" s="355">
        <v>16.5</v>
      </c>
      <c r="K15" s="355">
        <v>16.3</v>
      </c>
      <c r="L15" s="356"/>
      <c r="M15" s="2039">
        <f t="shared" ref="M15" si="1">N15+P15</f>
        <v>0</v>
      </c>
      <c r="N15" s="2040"/>
      <c r="O15" s="1552"/>
      <c r="P15" s="356"/>
      <c r="Q15" s="2123">
        <v>0</v>
      </c>
      <c r="R15" s="355"/>
      <c r="S15" s="355"/>
      <c r="T15" s="356"/>
      <c r="U15" s="2123">
        <v>0</v>
      </c>
      <c r="V15" s="355"/>
      <c r="W15" s="355"/>
      <c r="X15" s="356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</row>
    <row r="16" spans="1:59" s="358" customFormat="1" ht="21" customHeight="1" x14ac:dyDescent="0.2">
      <c r="A16" s="2628"/>
      <c r="B16" s="2545"/>
      <c r="C16" s="2530"/>
      <c r="D16" s="2528"/>
      <c r="E16" s="2632"/>
      <c r="F16" s="2510"/>
      <c r="G16" s="2510"/>
      <c r="H16" s="2093" t="s">
        <v>32</v>
      </c>
      <c r="I16" s="2123">
        <v>3.3</v>
      </c>
      <c r="J16" s="355">
        <v>2.5</v>
      </c>
      <c r="K16" s="355"/>
      <c r="L16" s="356">
        <v>0.8</v>
      </c>
      <c r="M16" s="2123"/>
      <c r="N16" s="357"/>
      <c r="O16" s="355"/>
      <c r="P16" s="356"/>
      <c r="Q16" s="2123"/>
      <c r="R16" s="355"/>
      <c r="S16" s="355"/>
      <c r="T16" s="356"/>
      <c r="U16" s="2123"/>
      <c r="V16" s="355"/>
      <c r="W16" s="355"/>
      <c r="X16" s="356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</row>
    <row r="17" spans="1:59" s="358" customFormat="1" ht="11.25" x14ac:dyDescent="0.2">
      <c r="A17" s="2628"/>
      <c r="B17" s="2545"/>
      <c r="C17" s="2530"/>
      <c r="D17" s="2528"/>
      <c r="E17" s="2632"/>
      <c r="F17" s="2510"/>
      <c r="G17" s="2510"/>
      <c r="H17" s="2093" t="s">
        <v>33</v>
      </c>
      <c r="I17" s="2123">
        <f t="shared" si="0"/>
        <v>5.6</v>
      </c>
      <c r="J17" s="355">
        <v>5.6</v>
      </c>
      <c r="K17" s="355"/>
      <c r="L17" s="356"/>
      <c r="M17" s="2123">
        <v>1.5</v>
      </c>
      <c r="N17" s="355">
        <v>1.5</v>
      </c>
      <c r="O17" s="355">
        <v>1.5</v>
      </c>
      <c r="P17" s="356"/>
      <c r="Q17" s="2123">
        <v>0</v>
      </c>
      <c r="R17" s="355"/>
      <c r="S17" s="355"/>
      <c r="T17" s="356"/>
      <c r="U17" s="2123">
        <v>0</v>
      </c>
      <c r="V17" s="355"/>
      <c r="W17" s="355"/>
      <c r="X17" s="356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</row>
    <row r="18" spans="1:59" ht="12" thickBot="1" x14ac:dyDescent="0.25">
      <c r="A18" s="2628"/>
      <c r="B18" s="2545"/>
      <c r="C18" s="2530"/>
      <c r="D18" s="2528"/>
      <c r="E18" s="2632"/>
      <c r="F18" s="2510"/>
      <c r="G18" s="2510"/>
      <c r="H18" s="2093" t="s">
        <v>34</v>
      </c>
      <c r="I18" s="2123">
        <f>J18+L18</f>
        <v>67.2</v>
      </c>
      <c r="J18" s="355">
        <v>67.2</v>
      </c>
      <c r="K18" s="355">
        <v>8.6</v>
      </c>
      <c r="L18" s="356">
        <v>0</v>
      </c>
      <c r="M18" s="2123">
        <f>N18+P18</f>
        <v>135.9</v>
      </c>
      <c r="N18" s="355">
        <v>135.9</v>
      </c>
      <c r="O18" s="355">
        <v>16.5</v>
      </c>
      <c r="P18" s="356">
        <v>0</v>
      </c>
      <c r="Q18" s="2123">
        <f>R18+T18</f>
        <v>135.9</v>
      </c>
      <c r="R18" s="355">
        <v>135.9</v>
      </c>
      <c r="S18" s="355">
        <v>16.5</v>
      </c>
      <c r="T18" s="356">
        <v>0</v>
      </c>
      <c r="U18" s="2123">
        <f>V18+X18</f>
        <v>135.9</v>
      </c>
      <c r="V18" s="355">
        <v>135.9</v>
      </c>
      <c r="W18" s="355">
        <v>16.5</v>
      </c>
      <c r="X18" s="356">
        <v>0</v>
      </c>
    </row>
    <row r="19" spans="1:59" s="358" customFormat="1" ht="12" thickBot="1" x14ac:dyDescent="0.25">
      <c r="A19" s="2628"/>
      <c r="B19" s="2545"/>
      <c r="C19" s="2530"/>
      <c r="D19" s="2529"/>
      <c r="E19" s="2633"/>
      <c r="F19" s="2578" t="s">
        <v>35</v>
      </c>
      <c r="G19" s="2579"/>
      <c r="H19" s="2586"/>
      <c r="I19" s="359">
        <f t="shared" ref="I19" si="2">J19+L19</f>
        <v>2436.0999999999995</v>
      </c>
      <c r="J19" s="360">
        <f t="shared" ref="J19:L19" si="3">SUM(J12:J18)</f>
        <v>2413.4999999999995</v>
      </c>
      <c r="K19" s="360">
        <f>SUM(K12:K18)</f>
        <v>2103.4</v>
      </c>
      <c r="L19" s="361">
        <f t="shared" si="3"/>
        <v>22.599999999999998</v>
      </c>
      <c r="M19" s="359">
        <f>N19+P19</f>
        <v>2762.3</v>
      </c>
      <c r="N19" s="360">
        <f t="shared" ref="N19:P19" si="4">SUM(N12:N18)</f>
        <v>2762.3</v>
      </c>
      <c r="O19" s="360">
        <f t="shared" si="4"/>
        <v>2412.5</v>
      </c>
      <c r="P19" s="361">
        <f t="shared" si="4"/>
        <v>0</v>
      </c>
      <c r="Q19" s="359">
        <f>R19+T19</f>
        <v>2742.2000000000003</v>
      </c>
      <c r="R19" s="360">
        <f>R12+R13+R14+R17+R18</f>
        <v>2742.2000000000003</v>
      </c>
      <c r="S19" s="360">
        <f>S12+S13+S14+S15+S17+S18</f>
        <v>2397.5</v>
      </c>
      <c r="T19" s="361">
        <v>0</v>
      </c>
      <c r="U19" s="359">
        <f>V19+X19</f>
        <v>2742.2000000000003</v>
      </c>
      <c r="V19" s="360">
        <f>V12+V13+V14+V15+V17+V18</f>
        <v>2742.2000000000003</v>
      </c>
      <c r="W19" s="360">
        <f>W12+W13+W14+W15+W17+W18</f>
        <v>2397.5</v>
      </c>
      <c r="X19" s="361">
        <v>0</v>
      </c>
      <c r="Y19" s="339"/>
    </row>
    <row r="20" spans="1:59" ht="11.25" x14ac:dyDescent="0.2">
      <c r="A20" s="2558">
        <v>1</v>
      </c>
      <c r="B20" s="2542">
        <v>1</v>
      </c>
      <c r="C20" s="2531">
        <v>2</v>
      </c>
      <c r="D20" s="2527" t="s">
        <v>36</v>
      </c>
      <c r="E20" s="2623" t="s">
        <v>37</v>
      </c>
      <c r="F20" s="2513" t="s">
        <v>26</v>
      </c>
      <c r="G20" s="2512" t="s">
        <v>38</v>
      </c>
      <c r="H20" s="2091" t="s">
        <v>28</v>
      </c>
      <c r="I20" s="348">
        <f>J20+L20</f>
        <v>1354.5</v>
      </c>
      <c r="J20" s="349">
        <v>1350.6</v>
      </c>
      <c r="K20" s="349">
        <v>1298.5</v>
      </c>
      <c r="L20" s="350">
        <v>3.9</v>
      </c>
      <c r="M20" s="348">
        <f t="shared" ref="M20" si="5">N20+P20</f>
        <v>1556.6</v>
      </c>
      <c r="N20" s="349">
        <v>1556.6</v>
      </c>
      <c r="O20" s="349">
        <v>1476.9</v>
      </c>
      <c r="P20" s="350">
        <v>0</v>
      </c>
      <c r="Q20" s="348">
        <f t="shared" ref="Q20" si="6">R20+T20</f>
        <v>1556.6</v>
      </c>
      <c r="R20" s="349">
        <v>1556.6</v>
      </c>
      <c r="S20" s="349">
        <v>1479.9</v>
      </c>
      <c r="T20" s="350">
        <v>0</v>
      </c>
      <c r="U20" s="348">
        <f t="shared" ref="U20" si="7">V20+X20</f>
        <v>1556.6</v>
      </c>
      <c r="V20" s="349">
        <v>1556.6</v>
      </c>
      <c r="W20" s="349">
        <v>1479.9</v>
      </c>
      <c r="X20" s="350">
        <v>0</v>
      </c>
    </row>
    <row r="21" spans="1:59" ht="33.75" x14ac:dyDescent="0.2">
      <c r="A21" s="2558"/>
      <c r="B21" s="2542"/>
      <c r="C21" s="2531"/>
      <c r="D21" s="2528"/>
      <c r="E21" s="2623"/>
      <c r="F21" s="2513"/>
      <c r="G21" s="2512"/>
      <c r="H21" s="2088" t="s">
        <v>29</v>
      </c>
      <c r="I21" s="348">
        <f>J21+L21</f>
        <v>23.1</v>
      </c>
      <c r="J21" s="349">
        <v>18</v>
      </c>
      <c r="K21" s="349"/>
      <c r="L21" s="350">
        <v>5.0999999999999996</v>
      </c>
      <c r="M21" s="348"/>
      <c r="N21" s="349"/>
      <c r="O21" s="349"/>
      <c r="P21" s="350"/>
      <c r="Q21" s="348"/>
      <c r="R21" s="349"/>
      <c r="S21" s="349"/>
      <c r="T21" s="350"/>
      <c r="U21" s="348"/>
      <c r="V21" s="349"/>
      <c r="W21" s="349"/>
      <c r="X21" s="350"/>
    </row>
    <row r="22" spans="1:59" ht="11.25" x14ac:dyDescent="0.2">
      <c r="A22" s="2558"/>
      <c r="B22" s="2545"/>
      <c r="C22" s="2530"/>
      <c r="D22" s="2528"/>
      <c r="E22" s="2622"/>
      <c r="F22" s="2513"/>
      <c r="G22" s="2512"/>
      <c r="H22" s="2093" t="s">
        <v>30</v>
      </c>
      <c r="I22" s="2122">
        <f>J22+L22</f>
        <v>569.19999999999993</v>
      </c>
      <c r="J22" s="2380">
        <v>564.4</v>
      </c>
      <c r="K22" s="2380">
        <v>445.1</v>
      </c>
      <c r="L22" s="2381">
        <v>4.8</v>
      </c>
      <c r="M22" s="2122">
        <f t="shared" ref="M22:M24" si="8">N22+P22</f>
        <v>669.4</v>
      </c>
      <c r="N22" s="382">
        <v>669.4</v>
      </c>
      <c r="O22" s="382">
        <v>569.79999999999995</v>
      </c>
      <c r="P22" s="2080"/>
      <c r="Q22" s="2122">
        <v>713.1</v>
      </c>
      <c r="R22" s="2079">
        <v>713.1</v>
      </c>
      <c r="S22" s="2079">
        <v>613.79999999999995</v>
      </c>
      <c r="T22" s="2080"/>
      <c r="U22" s="2122">
        <v>713.1</v>
      </c>
      <c r="V22" s="2079">
        <v>713.1</v>
      </c>
      <c r="W22" s="2079">
        <v>613.79999999999995</v>
      </c>
      <c r="X22" s="2080"/>
    </row>
    <row r="23" spans="1:59" ht="11.25" x14ac:dyDescent="0.2">
      <c r="A23" s="2558"/>
      <c r="B23" s="2545"/>
      <c r="C23" s="2530"/>
      <c r="D23" s="2528"/>
      <c r="E23" s="2622"/>
      <c r="F23" s="2513"/>
      <c r="G23" s="2512"/>
      <c r="H23" s="2093" t="s">
        <v>34</v>
      </c>
      <c r="I23" s="2122">
        <f t="shared" ref="I23:I26" si="9">J23+L23</f>
        <v>32.700000000000003</v>
      </c>
      <c r="J23" s="2380">
        <v>32.700000000000003</v>
      </c>
      <c r="K23" s="2380">
        <v>4.9000000000000004</v>
      </c>
      <c r="L23" s="2381">
        <v>0</v>
      </c>
      <c r="M23" s="2122">
        <f t="shared" si="8"/>
        <v>47.2</v>
      </c>
      <c r="N23" s="2079">
        <v>47.2</v>
      </c>
      <c r="O23" s="2079">
        <v>6.5</v>
      </c>
      <c r="P23" s="2080">
        <v>0</v>
      </c>
      <c r="Q23" s="2122">
        <f>R23+T23</f>
        <v>47.2</v>
      </c>
      <c r="R23" s="2079">
        <v>47.2</v>
      </c>
      <c r="S23" s="2079">
        <v>6.5</v>
      </c>
      <c r="T23" s="2080">
        <v>0</v>
      </c>
      <c r="U23" s="2122">
        <f>V23+X23</f>
        <v>47.2</v>
      </c>
      <c r="V23" s="2079">
        <v>47.2</v>
      </c>
      <c r="W23" s="2079">
        <v>6.5</v>
      </c>
      <c r="X23" s="2080">
        <v>0</v>
      </c>
    </row>
    <row r="24" spans="1:59" s="358" customFormat="1" ht="21" customHeight="1" x14ac:dyDescent="0.2">
      <c r="A24" s="2558"/>
      <c r="B24" s="2545"/>
      <c r="C24" s="2530"/>
      <c r="D24" s="2528"/>
      <c r="E24" s="2622"/>
      <c r="F24" s="2513"/>
      <c r="G24" s="2512"/>
      <c r="H24" s="2093" t="s">
        <v>31</v>
      </c>
      <c r="I24" s="2123">
        <f t="shared" si="9"/>
        <v>11.8</v>
      </c>
      <c r="J24" s="355">
        <v>11.8</v>
      </c>
      <c r="K24" s="355">
        <v>11.7</v>
      </c>
      <c r="L24" s="356"/>
      <c r="M24" s="2123">
        <f t="shared" si="8"/>
        <v>0</v>
      </c>
      <c r="N24" s="355"/>
      <c r="O24" s="355"/>
      <c r="P24" s="356"/>
      <c r="Q24" s="2123">
        <v>0</v>
      </c>
      <c r="R24" s="355"/>
      <c r="S24" s="355"/>
      <c r="T24" s="356"/>
      <c r="U24" s="2123">
        <v>0</v>
      </c>
      <c r="V24" s="355"/>
      <c r="W24" s="355"/>
      <c r="X24" s="356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</row>
    <row r="25" spans="1:59" ht="21" customHeight="1" x14ac:dyDescent="0.2">
      <c r="A25" s="2558"/>
      <c r="B25" s="2545"/>
      <c r="C25" s="2530"/>
      <c r="D25" s="2528"/>
      <c r="E25" s="2622"/>
      <c r="F25" s="2513"/>
      <c r="G25" s="2512"/>
      <c r="H25" s="2093" t="s">
        <v>32</v>
      </c>
      <c r="I25" s="2123">
        <f>J25+L25</f>
        <v>2.9</v>
      </c>
      <c r="J25" s="355">
        <v>0.6</v>
      </c>
      <c r="K25" s="355"/>
      <c r="L25" s="356">
        <v>2.2999999999999998</v>
      </c>
      <c r="M25" s="2123"/>
      <c r="N25" s="355"/>
      <c r="O25" s="355"/>
      <c r="P25" s="356"/>
      <c r="Q25" s="2123"/>
      <c r="R25" s="355"/>
      <c r="S25" s="355"/>
      <c r="T25" s="356"/>
      <c r="U25" s="2123"/>
      <c r="V25" s="355"/>
      <c r="W25" s="355"/>
      <c r="X25" s="356"/>
    </row>
    <row r="26" spans="1:59" ht="16.5" customHeight="1" thickBot="1" x14ac:dyDescent="0.25">
      <c r="A26" s="2558"/>
      <c r="B26" s="2545"/>
      <c r="C26" s="2530"/>
      <c r="D26" s="2528"/>
      <c r="E26" s="2622"/>
      <c r="F26" s="2513"/>
      <c r="G26" s="2512"/>
      <c r="H26" s="2093" t="s">
        <v>33</v>
      </c>
      <c r="I26" s="2123">
        <f t="shared" si="9"/>
        <v>20</v>
      </c>
      <c r="J26" s="355">
        <f>17.1+2.9</f>
        <v>20</v>
      </c>
      <c r="K26" s="355">
        <v>12.9</v>
      </c>
      <c r="L26" s="356"/>
      <c r="M26" s="1539">
        <f>N26+P26</f>
        <v>17.8</v>
      </c>
      <c r="N26" s="1540">
        <v>17.8</v>
      </c>
      <c r="O26" s="1540">
        <v>17.600000000000001</v>
      </c>
      <c r="P26" s="356"/>
      <c r="Q26" s="2123">
        <f>R26+T26</f>
        <v>16.399999999999999</v>
      </c>
      <c r="R26" s="355">
        <v>16.399999999999999</v>
      </c>
      <c r="S26" s="355">
        <v>16.100000000000001</v>
      </c>
      <c r="T26" s="356"/>
      <c r="U26" s="2123">
        <f>V26+X26</f>
        <v>16.399999999999999</v>
      </c>
      <c r="V26" s="355">
        <v>16.399999999999999</v>
      </c>
      <c r="W26" s="355">
        <v>16.100000000000001</v>
      </c>
      <c r="X26" s="356"/>
    </row>
    <row r="27" spans="1:59" ht="12" thickBot="1" x14ac:dyDescent="0.25">
      <c r="A27" s="2559"/>
      <c r="B27" s="2545"/>
      <c r="C27" s="2530"/>
      <c r="D27" s="2529"/>
      <c r="E27" s="2622"/>
      <c r="F27" s="2516" t="s">
        <v>35</v>
      </c>
      <c r="G27" s="2517"/>
      <c r="H27" s="2517"/>
      <c r="I27" s="362">
        <f t="shared" ref="I27" si="10">J27+L27</f>
        <v>2014.1999999999998</v>
      </c>
      <c r="J27" s="360">
        <f>SUM(J20:J26)</f>
        <v>1998.1</v>
      </c>
      <c r="K27" s="360">
        <f t="shared" ref="K27:L27" si="11">SUM(K20:K26)</f>
        <v>1773.1000000000001</v>
      </c>
      <c r="L27" s="361">
        <f t="shared" si="11"/>
        <v>16.100000000000001</v>
      </c>
      <c r="M27" s="363">
        <f>N27+P27</f>
        <v>2291</v>
      </c>
      <c r="N27" s="360">
        <f>SUM(N20:N26)</f>
        <v>2291</v>
      </c>
      <c r="O27" s="360">
        <f>SUM(O20:O26)</f>
        <v>2070.7999999999997</v>
      </c>
      <c r="P27" s="361">
        <f>SUM(P20:P26)</f>
        <v>0</v>
      </c>
      <c r="Q27" s="363">
        <f>R27+T27</f>
        <v>2333.2999999999997</v>
      </c>
      <c r="R27" s="360">
        <f>R20+R21+R22+R23+R24+R26</f>
        <v>2333.2999999999997</v>
      </c>
      <c r="S27" s="360">
        <f>S20+S21+S22+S23+S24+S26</f>
        <v>2116.2999999999997</v>
      </c>
      <c r="T27" s="361">
        <v>0</v>
      </c>
      <c r="U27" s="363">
        <f>V27+X27</f>
        <v>2333.2999999999997</v>
      </c>
      <c r="V27" s="360">
        <f>V20+V21+V22+V23+V24+V26</f>
        <v>2333.2999999999997</v>
      </c>
      <c r="W27" s="360">
        <f>W20+W21+W22+W23+W24+W26</f>
        <v>2116.2999999999997</v>
      </c>
      <c r="X27" s="361">
        <v>0</v>
      </c>
    </row>
    <row r="28" spans="1:59" s="358" customFormat="1" ht="11.25" x14ac:dyDescent="0.2">
      <c r="A28" s="2557">
        <v>1</v>
      </c>
      <c r="B28" s="2545">
        <v>1</v>
      </c>
      <c r="C28" s="2530">
        <v>3</v>
      </c>
      <c r="D28" s="2527" t="s">
        <v>39</v>
      </c>
      <c r="E28" s="2622" t="s">
        <v>40</v>
      </c>
      <c r="F28" s="2513" t="s">
        <v>26</v>
      </c>
      <c r="G28" s="2512" t="s">
        <v>41</v>
      </c>
      <c r="H28" s="364" t="s">
        <v>28</v>
      </c>
      <c r="I28" s="348">
        <f>J28+L28</f>
        <v>458.1</v>
      </c>
      <c r="J28" s="349">
        <f>459.3-1.2</f>
        <v>458.1</v>
      </c>
      <c r="K28" s="349">
        <f>444.7-1.2</f>
        <v>443.5</v>
      </c>
      <c r="L28" s="350">
        <v>0</v>
      </c>
      <c r="M28" s="348">
        <f>N28+P28</f>
        <v>571.1</v>
      </c>
      <c r="N28" s="349">
        <v>571.1</v>
      </c>
      <c r="O28" s="349">
        <v>551.20000000000005</v>
      </c>
      <c r="P28" s="350">
        <v>0</v>
      </c>
      <c r="Q28" s="348">
        <f>R28+T28</f>
        <v>571.1</v>
      </c>
      <c r="R28" s="349">
        <v>571.1</v>
      </c>
      <c r="S28" s="349">
        <v>552.6</v>
      </c>
      <c r="T28" s="350">
        <v>0</v>
      </c>
      <c r="U28" s="348">
        <f>V28+X28</f>
        <v>571.1</v>
      </c>
      <c r="V28" s="349">
        <v>571.1</v>
      </c>
      <c r="W28" s="349">
        <v>552.6</v>
      </c>
      <c r="X28" s="350">
        <v>0</v>
      </c>
      <c r="Y28" s="339"/>
    </row>
    <row r="29" spans="1:59" s="358" customFormat="1" ht="21" customHeight="1" x14ac:dyDescent="0.2">
      <c r="A29" s="2558"/>
      <c r="B29" s="2545"/>
      <c r="C29" s="2530"/>
      <c r="D29" s="2528"/>
      <c r="E29" s="2622"/>
      <c r="F29" s="2513"/>
      <c r="G29" s="2512"/>
      <c r="H29" s="2088" t="s">
        <v>29</v>
      </c>
      <c r="I29" s="348">
        <v>3.8</v>
      </c>
      <c r="J29" s="349">
        <v>3.8</v>
      </c>
      <c r="K29" s="349"/>
      <c r="L29" s="350"/>
      <c r="M29" s="348"/>
      <c r="N29" s="349"/>
      <c r="O29" s="349"/>
      <c r="P29" s="350"/>
      <c r="Q29" s="348"/>
      <c r="R29" s="349"/>
      <c r="S29" s="349"/>
      <c r="T29" s="350"/>
      <c r="U29" s="348"/>
      <c r="V29" s="349"/>
      <c r="W29" s="349"/>
      <c r="X29" s="350"/>
      <c r="Y29" s="339"/>
    </row>
    <row r="30" spans="1:59" s="358" customFormat="1" ht="11.25" x14ac:dyDescent="0.2">
      <c r="A30" s="2558"/>
      <c r="B30" s="2545"/>
      <c r="C30" s="2530"/>
      <c r="D30" s="2528"/>
      <c r="E30" s="2622"/>
      <c r="F30" s="2513"/>
      <c r="G30" s="2512"/>
      <c r="H30" s="2093" t="s">
        <v>30</v>
      </c>
      <c r="I30" s="2122">
        <f>J30+L30</f>
        <v>415.5</v>
      </c>
      <c r="J30" s="2380">
        <v>407.7</v>
      </c>
      <c r="K30" s="2380">
        <v>322.7</v>
      </c>
      <c r="L30" s="2381">
        <v>7.8</v>
      </c>
      <c r="M30" s="2122">
        <f t="shared" ref="M30:M33" si="12">N30+P30</f>
        <v>443.2</v>
      </c>
      <c r="N30" s="2079">
        <v>443.2</v>
      </c>
      <c r="O30" s="2079">
        <v>348.5</v>
      </c>
      <c r="P30" s="2080"/>
      <c r="Q30" s="2122">
        <f>R30+T30</f>
        <v>446.4</v>
      </c>
      <c r="R30" s="2079">
        <v>446.4</v>
      </c>
      <c r="S30" s="2079">
        <v>351.6</v>
      </c>
      <c r="T30" s="2080"/>
      <c r="U30" s="2122">
        <f>V30+X30</f>
        <v>446.4</v>
      </c>
      <c r="V30" s="2079">
        <v>446.4</v>
      </c>
      <c r="W30" s="2079">
        <v>351.6</v>
      </c>
      <c r="X30" s="2080"/>
      <c r="Y30" s="339"/>
    </row>
    <row r="31" spans="1:59" s="358" customFormat="1" ht="33.75" x14ac:dyDescent="0.2">
      <c r="A31" s="2558"/>
      <c r="B31" s="2545"/>
      <c r="C31" s="2530"/>
      <c r="D31" s="2528"/>
      <c r="E31" s="2622"/>
      <c r="F31" s="2513"/>
      <c r="G31" s="2512"/>
      <c r="H31" s="2093" t="s">
        <v>31</v>
      </c>
      <c r="I31" s="2123">
        <f>J31+L31</f>
        <v>1.9</v>
      </c>
      <c r="J31" s="355">
        <v>1.9</v>
      </c>
      <c r="K31" s="355">
        <v>1.9</v>
      </c>
      <c r="L31" s="356"/>
      <c r="M31" s="2123">
        <f t="shared" si="12"/>
        <v>0</v>
      </c>
      <c r="N31" s="355"/>
      <c r="O31" s="355"/>
      <c r="P31" s="356"/>
      <c r="Q31" s="2123">
        <v>0</v>
      </c>
      <c r="R31" s="355"/>
      <c r="S31" s="355"/>
      <c r="T31" s="356"/>
      <c r="U31" s="2123">
        <v>0</v>
      </c>
      <c r="V31" s="355"/>
      <c r="W31" s="355"/>
      <c r="X31" s="356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</row>
    <row r="32" spans="1:59" s="358" customFormat="1" ht="11.25" x14ac:dyDescent="0.2">
      <c r="A32" s="2558"/>
      <c r="B32" s="2545"/>
      <c r="C32" s="2530"/>
      <c r="D32" s="2528"/>
      <c r="E32" s="2622"/>
      <c r="F32" s="2513"/>
      <c r="G32" s="2512"/>
      <c r="H32" s="2093" t="s">
        <v>33</v>
      </c>
      <c r="I32" s="2123">
        <v>7.5</v>
      </c>
      <c r="J32" s="355">
        <v>7.5</v>
      </c>
      <c r="K32" s="355">
        <v>7.4</v>
      </c>
      <c r="L32" s="356"/>
      <c r="M32" s="2123">
        <v>1.5</v>
      </c>
      <c r="N32" s="355">
        <v>1.5</v>
      </c>
      <c r="O32" s="355">
        <v>1.5</v>
      </c>
      <c r="P32" s="356"/>
      <c r="Q32" s="2123"/>
      <c r="R32" s="355"/>
      <c r="S32" s="355"/>
      <c r="T32" s="356"/>
      <c r="U32" s="2123"/>
      <c r="V32" s="355"/>
      <c r="W32" s="355"/>
      <c r="X32" s="356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</row>
    <row r="33" spans="1:59" s="358" customFormat="1" ht="12" thickBot="1" x14ac:dyDescent="0.25">
      <c r="A33" s="2558"/>
      <c r="B33" s="2545"/>
      <c r="C33" s="2530"/>
      <c r="D33" s="2528"/>
      <c r="E33" s="2622"/>
      <c r="F33" s="2513"/>
      <c r="G33" s="2512"/>
      <c r="H33" s="2093" t="s">
        <v>34</v>
      </c>
      <c r="I33" s="2123">
        <f>J33+L33</f>
        <v>30.9</v>
      </c>
      <c r="J33" s="355">
        <v>30.9</v>
      </c>
      <c r="K33" s="355">
        <v>3.7</v>
      </c>
      <c r="L33" s="356">
        <v>0</v>
      </c>
      <c r="M33" s="2123">
        <f t="shared" si="12"/>
        <v>27.4</v>
      </c>
      <c r="N33" s="355">
        <v>27.4</v>
      </c>
      <c r="O33" s="355">
        <v>3.6</v>
      </c>
      <c r="P33" s="356">
        <v>0</v>
      </c>
      <c r="Q33" s="2123">
        <f>R33+T33</f>
        <v>27.4</v>
      </c>
      <c r="R33" s="355">
        <v>27.4</v>
      </c>
      <c r="S33" s="355">
        <v>3.6</v>
      </c>
      <c r="T33" s="356">
        <v>0</v>
      </c>
      <c r="U33" s="2123">
        <f>V33+X33</f>
        <v>27.4</v>
      </c>
      <c r="V33" s="355">
        <v>27.4</v>
      </c>
      <c r="W33" s="355">
        <v>3.6</v>
      </c>
      <c r="X33" s="356">
        <v>0</v>
      </c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</row>
    <row r="34" spans="1:59" s="358" customFormat="1" ht="21" customHeight="1" thickBot="1" x14ac:dyDescent="0.25">
      <c r="A34" s="2559"/>
      <c r="B34" s="2545"/>
      <c r="C34" s="2530"/>
      <c r="D34" s="2529"/>
      <c r="E34" s="2622"/>
      <c r="F34" s="2516" t="s">
        <v>35</v>
      </c>
      <c r="G34" s="2517"/>
      <c r="H34" s="2517"/>
      <c r="I34" s="362">
        <f>J34+L34</f>
        <v>917.69999999999993</v>
      </c>
      <c r="J34" s="360">
        <f t="shared" ref="J34:L34" si="13">SUM(J28:J33)</f>
        <v>909.9</v>
      </c>
      <c r="K34" s="360">
        <f t="shared" si="13"/>
        <v>779.2</v>
      </c>
      <c r="L34" s="361">
        <f t="shared" si="13"/>
        <v>7.8</v>
      </c>
      <c r="M34" s="361">
        <f>N34+P34</f>
        <v>1043.2</v>
      </c>
      <c r="N34" s="360">
        <f>N28+N29+N30+N31+N32+N33</f>
        <v>1043.2</v>
      </c>
      <c r="O34" s="360">
        <f>O28+O29+O30+O31+O32+O33</f>
        <v>904.80000000000007</v>
      </c>
      <c r="P34" s="361">
        <f>SUM(P28:P33)</f>
        <v>0</v>
      </c>
      <c r="Q34" s="359">
        <f>R34+T34</f>
        <v>1044.9000000000001</v>
      </c>
      <c r="R34" s="360">
        <f>R28+R29+R30+R31+R32+R33</f>
        <v>1044.9000000000001</v>
      </c>
      <c r="S34" s="360">
        <f>S28+S29+S30+S31+S32+S33</f>
        <v>907.80000000000007</v>
      </c>
      <c r="T34" s="361">
        <v>0</v>
      </c>
      <c r="U34" s="359">
        <f>V34+X34</f>
        <v>1044.9000000000001</v>
      </c>
      <c r="V34" s="360">
        <f>V28+V29+V30+V31+V32+V33</f>
        <v>1044.9000000000001</v>
      </c>
      <c r="W34" s="360">
        <f>W28+W29+W30+W31+W32+W33</f>
        <v>907.80000000000007</v>
      </c>
      <c r="X34" s="361">
        <v>0</v>
      </c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</row>
    <row r="35" spans="1:59" s="358" customFormat="1" ht="11.25" x14ac:dyDescent="0.2">
      <c r="A35" s="2557">
        <v>1</v>
      </c>
      <c r="B35" s="2545">
        <v>1</v>
      </c>
      <c r="C35" s="2530">
        <v>4</v>
      </c>
      <c r="D35" s="2527" t="s">
        <v>42</v>
      </c>
      <c r="E35" s="2624" t="s">
        <v>43</v>
      </c>
      <c r="F35" s="2513" t="s">
        <v>44</v>
      </c>
      <c r="G35" s="2513" t="s">
        <v>45</v>
      </c>
      <c r="H35" s="364" t="s">
        <v>28</v>
      </c>
      <c r="I35" s="348">
        <f>J35+L35</f>
        <v>1321</v>
      </c>
      <c r="J35" s="349">
        <v>1321</v>
      </c>
      <c r="K35" s="349">
        <v>1262.2</v>
      </c>
      <c r="L35" s="350">
        <v>0</v>
      </c>
      <c r="M35" s="348">
        <f>N35+P35</f>
        <v>1571.5</v>
      </c>
      <c r="N35" s="349">
        <v>1571.5</v>
      </c>
      <c r="O35" s="349">
        <v>1487.1</v>
      </c>
      <c r="P35" s="350">
        <v>0</v>
      </c>
      <c r="Q35" s="348">
        <f>R35+T35</f>
        <v>1571.5</v>
      </c>
      <c r="R35" s="349">
        <v>1571.5</v>
      </c>
      <c r="S35" s="349">
        <v>1489.6</v>
      </c>
      <c r="T35" s="350">
        <v>0</v>
      </c>
      <c r="U35" s="348">
        <f>V35+X35</f>
        <v>1571.5</v>
      </c>
      <c r="V35" s="349">
        <v>1571.5</v>
      </c>
      <c r="W35" s="349">
        <v>1489.6</v>
      </c>
      <c r="X35" s="350">
        <v>0</v>
      </c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</row>
    <row r="36" spans="1:59" s="358" customFormat="1" ht="33.75" x14ac:dyDescent="0.2">
      <c r="A36" s="2558"/>
      <c r="B36" s="2545"/>
      <c r="C36" s="2530"/>
      <c r="D36" s="2528"/>
      <c r="E36" s="2624"/>
      <c r="F36" s="2513"/>
      <c r="G36" s="2513"/>
      <c r="H36" s="2088" t="s">
        <v>29</v>
      </c>
      <c r="I36" s="348">
        <f>J36+L36</f>
        <v>20.8</v>
      </c>
      <c r="J36" s="349">
        <v>5.3</v>
      </c>
      <c r="K36" s="349"/>
      <c r="L36" s="350">
        <v>15.5</v>
      </c>
      <c r="M36" s="365"/>
      <c r="N36" s="349"/>
      <c r="O36" s="349"/>
      <c r="P36" s="350"/>
      <c r="Q36" s="348"/>
      <c r="R36" s="349"/>
      <c r="S36" s="349"/>
      <c r="T36" s="350"/>
      <c r="U36" s="348"/>
      <c r="V36" s="349"/>
      <c r="W36" s="349"/>
      <c r="X36" s="350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</row>
    <row r="37" spans="1:59" s="358" customFormat="1" ht="11.25" x14ac:dyDescent="0.2">
      <c r="A37" s="2558"/>
      <c r="B37" s="2545"/>
      <c r="C37" s="2530"/>
      <c r="D37" s="2528"/>
      <c r="E37" s="2624"/>
      <c r="F37" s="2513"/>
      <c r="G37" s="2513"/>
      <c r="H37" s="2093" t="s">
        <v>30</v>
      </c>
      <c r="I37" s="2122">
        <f t="shared" ref="I37:I41" si="14">J37+L37</f>
        <v>374.2</v>
      </c>
      <c r="J37" s="2380">
        <v>367.9</v>
      </c>
      <c r="K37" s="2380">
        <v>273.10000000000002</v>
      </c>
      <c r="L37" s="2381">
        <v>6.3</v>
      </c>
      <c r="M37" s="2122">
        <f t="shared" ref="M37:M41" si="15">N37+P37</f>
        <v>394.2</v>
      </c>
      <c r="N37" s="2079">
        <v>394.2</v>
      </c>
      <c r="O37" s="2079">
        <v>312.5</v>
      </c>
      <c r="P37" s="2080"/>
      <c r="Q37" s="2122">
        <f>R37+T37</f>
        <v>395.7</v>
      </c>
      <c r="R37" s="2079">
        <v>395.7</v>
      </c>
      <c r="S37" s="2079">
        <v>314</v>
      </c>
      <c r="T37" s="2080"/>
      <c r="U37" s="2122">
        <f>V37+X37</f>
        <v>395.7</v>
      </c>
      <c r="V37" s="2079">
        <v>395.7</v>
      </c>
      <c r="W37" s="2079">
        <v>314</v>
      </c>
      <c r="X37" s="2080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</row>
    <row r="38" spans="1:59" s="358" customFormat="1" ht="21" customHeight="1" x14ac:dyDescent="0.2">
      <c r="A38" s="2558"/>
      <c r="B38" s="2545"/>
      <c r="C38" s="2530"/>
      <c r="D38" s="2528"/>
      <c r="E38" s="2624"/>
      <c r="F38" s="2513"/>
      <c r="G38" s="2513"/>
      <c r="H38" s="2093" t="s">
        <v>31</v>
      </c>
      <c r="I38" s="2123">
        <f>J38+L38</f>
        <v>28.1</v>
      </c>
      <c r="J38" s="355">
        <f>17.3+10.8</f>
        <v>28.1</v>
      </c>
      <c r="K38" s="355">
        <f>17.1+10.7</f>
        <v>27.8</v>
      </c>
      <c r="L38" s="356"/>
      <c r="M38" s="2123">
        <f t="shared" si="15"/>
        <v>0</v>
      </c>
      <c r="N38" s="355"/>
      <c r="O38" s="355"/>
      <c r="P38" s="356"/>
      <c r="Q38" s="2123">
        <v>0</v>
      </c>
      <c r="R38" s="355"/>
      <c r="S38" s="355"/>
      <c r="T38" s="356"/>
      <c r="U38" s="2123">
        <v>0</v>
      </c>
      <c r="V38" s="355"/>
      <c r="W38" s="355"/>
      <c r="X38" s="356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</row>
    <row r="39" spans="1:59" s="358" customFormat="1" ht="11.25" x14ac:dyDescent="0.2">
      <c r="A39" s="2558"/>
      <c r="B39" s="2545"/>
      <c r="C39" s="2530"/>
      <c r="D39" s="2528"/>
      <c r="E39" s="2624"/>
      <c r="F39" s="2513"/>
      <c r="G39" s="2513"/>
      <c r="H39" s="2093" t="s">
        <v>33</v>
      </c>
      <c r="I39" s="2123">
        <f t="shared" si="14"/>
        <v>2.9</v>
      </c>
      <c r="J39" s="355">
        <v>2.9</v>
      </c>
      <c r="K39" s="355"/>
      <c r="L39" s="356"/>
      <c r="M39" s="2123">
        <v>1.5</v>
      </c>
      <c r="N39" s="355">
        <v>1.5</v>
      </c>
      <c r="O39" s="355">
        <v>1.5</v>
      </c>
      <c r="P39" s="356"/>
      <c r="Q39" s="2123">
        <v>0</v>
      </c>
      <c r="R39" s="355"/>
      <c r="S39" s="355"/>
      <c r="T39" s="356"/>
      <c r="U39" s="2123">
        <v>0</v>
      </c>
      <c r="V39" s="355"/>
      <c r="W39" s="355"/>
      <c r="X39" s="356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</row>
    <row r="40" spans="1:59" s="358" customFormat="1" ht="11.25" x14ac:dyDescent="0.2">
      <c r="A40" s="2558"/>
      <c r="B40" s="2545"/>
      <c r="C40" s="2530"/>
      <c r="D40" s="2528"/>
      <c r="E40" s="2624"/>
      <c r="F40" s="2513"/>
      <c r="G40" s="2513"/>
      <c r="H40" s="2093" t="s">
        <v>32</v>
      </c>
      <c r="I40" s="2123">
        <f t="shared" si="14"/>
        <v>0.8</v>
      </c>
      <c r="J40" s="355"/>
      <c r="K40" s="355"/>
      <c r="L40" s="356">
        <v>0.8</v>
      </c>
      <c r="M40" s="2123"/>
      <c r="N40" s="355"/>
      <c r="O40" s="355"/>
      <c r="P40" s="356"/>
      <c r="Q40" s="2123"/>
      <c r="R40" s="355"/>
      <c r="S40" s="355"/>
      <c r="T40" s="356"/>
      <c r="U40" s="2123"/>
      <c r="V40" s="355"/>
      <c r="W40" s="355"/>
      <c r="X40" s="356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</row>
    <row r="41" spans="1:59" s="358" customFormat="1" ht="12" thickBot="1" x14ac:dyDescent="0.25">
      <c r="A41" s="2558"/>
      <c r="B41" s="2545"/>
      <c r="C41" s="2530"/>
      <c r="D41" s="2528"/>
      <c r="E41" s="2624"/>
      <c r="F41" s="2513"/>
      <c r="G41" s="2513"/>
      <c r="H41" s="2093" t="s">
        <v>34</v>
      </c>
      <c r="I41" s="2123">
        <f t="shared" si="14"/>
        <v>42.7</v>
      </c>
      <c r="J41" s="355">
        <v>42.7</v>
      </c>
      <c r="K41" s="366">
        <v>5.7</v>
      </c>
      <c r="L41" s="356">
        <v>0</v>
      </c>
      <c r="M41" s="2123">
        <f t="shared" si="15"/>
        <v>77.5</v>
      </c>
      <c r="N41" s="355">
        <v>77.5</v>
      </c>
      <c r="O41" s="355">
        <v>20.9</v>
      </c>
      <c r="P41" s="356">
        <v>0</v>
      </c>
      <c r="Q41" s="2123">
        <v>77.5</v>
      </c>
      <c r="R41" s="355">
        <v>77.5</v>
      </c>
      <c r="S41" s="355">
        <v>20.9</v>
      </c>
      <c r="T41" s="356">
        <v>0</v>
      </c>
      <c r="U41" s="2123">
        <v>77.5</v>
      </c>
      <c r="V41" s="355">
        <v>77.5</v>
      </c>
      <c r="W41" s="355">
        <v>20.9</v>
      </c>
      <c r="X41" s="356">
        <v>0</v>
      </c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</row>
    <row r="42" spans="1:59" s="358" customFormat="1" ht="12" thickBot="1" x14ac:dyDescent="0.25">
      <c r="A42" s="2559"/>
      <c r="B42" s="2545"/>
      <c r="C42" s="2530"/>
      <c r="D42" s="2529"/>
      <c r="E42" s="2624"/>
      <c r="F42" s="2516" t="s">
        <v>35</v>
      </c>
      <c r="G42" s="2517"/>
      <c r="H42" s="2517"/>
      <c r="I42" s="359">
        <f t="shared" ref="I42" si="16">J42+L42</f>
        <v>1790.4999999999998</v>
      </c>
      <c r="J42" s="360">
        <f>SUM(J35:J41)</f>
        <v>1767.8999999999999</v>
      </c>
      <c r="K42" s="360">
        <f>SUM(K35:K41)</f>
        <v>1568.8000000000002</v>
      </c>
      <c r="L42" s="361">
        <f>SUM(L35:L41)</f>
        <v>22.6</v>
      </c>
      <c r="M42" s="359">
        <f>N42+P42</f>
        <v>2044.7</v>
      </c>
      <c r="N42" s="360">
        <f>SUM(N35:N41)</f>
        <v>2044.7</v>
      </c>
      <c r="O42" s="360">
        <f>SUM(O35:O41)</f>
        <v>1822</v>
      </c>
      <c r="P42" s="361">
        <f>SUM(P35:P41)</f>
        <v>0</v>
      </c>
      <c r="Q42" s="359">
        <f>R42+T42</f>
        <v>2044.7</v>
      </c>
      <c r="R42" s="360">
        <f>R35+R36+R37+R38+R39+R41</f>
        <v>2044.7</v>
      </c>
      <c r="S42" s="360">
        <f>S35+S36+S37+S38+S39+S41</f>
        <v>1824.5</v>
      </c>
      <c r="T42" s="361">
        <v>0</v>
      </c>
      <c r="U42" s="359">
        <f>V42+X42</f>
        <v>2044.7</v>
      </c>
      <c r="V42" s="360">
        <f>V35+V36+V37+V38+V39+V41</f>
        <v>2044.7</v>
      </c>
      <c r="W42" s="360">
        <f>W35+W36+W37+W38+W39+W41</f>
        <v>1824.5</v>
      </c>
      <c r="X42" s="361">
        <v>0</v>
      </c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</row>
    <row r="43" spans="1:59" s="358" customFormat="1" ht="11.25" x14ac:dyDescent="0.2">
      <c r="A43" s="2557">
        <v>1</v>
      </c>
      <c r="B43" s="2545">
        <v>1</v>
      </c>
      <c r="C43" s="2530">
        <v>5</v>
      </c>
      <c r="D43" s="2527" t="s">
        <v>46</v>
      </c>
      <c r="E43" s="2624" t="s">
        <v>47</v>
      </c>
      <c r="F43" s="2512" t="s">
        <v>44</v>
      </c>
      <c r="G43" s="2513" t="s">
        <v>48</v>
      </c>
      <c r="H43" s="2091" t="s">
        <v>28</v>
      </c>
      <c r="I43" s="348">
        <f>J43+L43</f>
        <v>1546.9</v>
      </c>
      <c r="J43" s="349">
        <v>1546.9</v>
      </c>
      <c r="K43" s="349">
        <v>1477.6</v>
      </c>
      <c r="L43" s="350">
        <v>0</v>
      </c>
      <c r="M43" s="348">
        <f t="shared" ref="M43" si="17">N43+P43</f>
        <v>1809.8</v>
      </c>
      <c r="N43" s="349">
        <v>1809.8</v>
      </c>
      <c r="O43" s="349">
        <v>1720.5</v>
      </c>
      <c r="P43" s="350">
        <v>0</v>
      </c>
      <c r="Q43" s="348">
        <f t="shared" ref="Q43" si="18">R43+T43</f>
        <v>1809.8</v>
      </c>
      <c r="R43" s="349">
        <v>1809.8</v>
      </c>
      <c r="S43" s="349">
        <v>1726.5</v>
      </c>
      <c r="T43" s="350">
        <v>0</v>
      </c>
      <c r="U43" s="348">
        <f t="shared" ref="U43" si="19">V43+X43</f>
        <v>1809.8</v>
      </c>
      <c r="V43" s="349">
        <v>1809.8</v>
      </c>
      <c r="W43" s="349">
        <v>1726.5</v>
      </c>
      <c r="X43" s="350">
        <v>0</v>
      </c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</row>
    <row r="44" spans="1:59" s="358" customFormat="1" ht="25.5" customHeight="1" x14ac:dyDescent="0.2">
      <c r="A44" s="2558"/>
      <c r="B44" s="2545"/>
      <c r="C44" s="2530"/>
      <c r="D44" s="2528"/>
      <c r="E44" s="2624"/>
      <c r="F44" s="2512"/>
      <c r="G44" s="2513"/>
      <c r="H44" s="2088" t="s">
        <v>29</v>
      </c>
      <c r="I44" s="348">
        <v>23.7</v>
      </c>
      <c r="J44" s="349">
        <v>23.7</v>
      </c>
      <c r="K44" s="349"/>
      <c r="L44" s="350"/>
      <c r="M44" s="348"/>
      <c r="N44" s="349"/>
      <c r="O44" s="349"/>
      <c r="P44" s="350"/>
      <c r="Q44" s="348"/>
      <c r="R44" s="349"/>
      <c r="S44" s="349"/>
      <c r="T44" s="350"/>
      <c r="U44" s="348"/>
      <c r="V44" s="349"/>
      <c r="W44" s="349"/>
      <c r="X44" s="350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</row>
    <row r="45" spans="1:59" s="358" customFormat="1" ht="11.25" x14ac:dyDescent="0.2">
      <c r="A45" s="2558"/>
      <c r="B45" s="2545"/>
      <c r="C45" s="2530"/>
      <c r="D45" s="2528"/>
      <c r="E45" s="2624"/>
      <c r="F45" s="2512"/>
      <c r="G45" s="2513"/>
      <c r="H45" s="2093" t="s">
        <v>30</v>
      </c>
      <c r="I45" s="2122">
        <f>J45+L45</f>
        <v>858.30000000000007</v>
      </c>
      <c r="J45" s="2380">
        <v>799.6</v>
      </c>
      <c r="K45" s="2380">
        <v>592.6</v>
      </c>
      <c r="L45" s="2381">
        <v>58.7</v>
      </c>
      <c r="M45" s="2122">
        <f t="shared" ref="M45:M48" si="20">N45+P45</f>
        <v>813.9</v>
      </c>
      <c r="N45" s="2079">
        <v>813.9</v>
      </c>
      <c r="O45" s="2079">
        <v>628.5</v>
      </c>
      <c r="P45" s="2080"/>
      <c r="Q45" s="2122">
        <v>837.7</v>
      </c>
      <c r="R45" s="2079">
        <v>837.7</v>
      </c>
      <c r="S45" s="2079">
        <v>652.9</v>
      </c>
      <c r="T45" s="2080"/>
      <c r="U45" s="2122">
        <v>837.7</v>
      </c>
      <c r="V45" s="2079">
        <v>837.7</v>
      </c>
      <c r="W45" s="2079">
        <v>652.9</v>
      </c>
      <c r="X45" s="2080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</row>
    <row r="46" spans="1:59" s="358" customFormat="1" ht="11.25" x14ac:dyDescent="0.2">
      <c r="A46" s="2558"/>
      <c r="B46" s="2545"/>
      <c r="C46" s="2530"/>
      <c r="D46" s="2528"/>
      <c r="E46" s="2624"/>
      <c r="F46" s="2512"/>
      <c r="G46" s="2513"/>
      <c r="H46" s="2093" t="s">
        <v>34</v>
      </c>
      <c r="I46" s="2122">
        <f>J46+L46</f>
        <v>28.6</v>
      </c>
      <c r="J46" s="2380">
        <v>28.6</v>
      </c>
      <c r="K46" s="2380"/>
      <c r="L46" s="2381">
        <v>0</v>
      </c>
      <c r="M46" s="2122">
        <f t="shared" si="20"/>
        <v>39</v>
      </c>
      <c r="N46" s="2079">
        <v>39</v>
      </c>
      <c r="O46" s="2079">
        <v>0</v>
      </c>
      <c r="P46" s="2080">
        <v>0</v>
      </c>
      <c r="Q46" s="2122">
        <v>39</v>
      </c>
      <c r="R46" s="2079">
        <v>39</v>
      </c>
      <c r="S46" s="2079">
        <v>0</v>
      </c>
      <c r="T46" s="2080">
        <v>0</v>
      </c>
      <c r="U46" s="2122">
        <v>39</v>
      </c>
      <c r="V46" s="2079">
        <v>39</v>
      </c>
      <c r="W46" s="2079">
        <v>0</v>
      </c>
      <c r="X46" s="2080">
        <v>0</v>
      </c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</row>
    <row r="47" spans="1:59" s="358" customFormat="1" ht="11.25" x14ac:dyDescent="0.2">
      <c r="A47" s="2558"/>
      <c r="B47" s="2545"/>
      <c r="C47" s="2530"/>
      <c r="D47" s="2528"/>
      <c r="E47" s="2624"/>
      <c r="F47" s="2512"/>
      <c r="G47" s="2513"/>
      <c r="H47" s="2093" t="s">
        <v>32</v>
      </c>
      <c r="I47" s="2123">
        <f>J47+L47</f>
        <v>4.8</v>
      </c>
      <c r="J47" s="355">
        <v>4.8</v>
      </c>
      <c r="K47" s="355"/>
      <c r="L47" s="356"/>
      <c r="M47" s="2123"/>
      <c r="N47" s="355"/>
      <c r="O47" s="355"/>
      <c r="P47" s="356"/>
      <c r="Q47" s="2123"/>
      <c r="R47" s="355"/>
      <c r="S47" s="355"/>
      <c r="T47" s="356"/>
      <c r="U47" s="2123"/>
      <c r="V47" s="355"/>
      <c r="W47" s="355"/>
      <c r="X47" s="356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</row>
    <row r="48" spans="1:59" s="358" customFormat="1" ht="23.25" customHeight="1" x14ac:dyDescent="0.2">
      <c r="A48" s="2558"/>
      <c r="B48" s="2545"/>
      <c r="C48" s="2530"/>
      <c r="D48" s="2528"/>
      <c r="E48" s="2624"/>
      <c r="F48" s="2512"/>
      <c r="G48" s="2513"/>
      <c r="H48" s="2093" t="s">
        <v>31</v>
      </c>
      <c r="I48" s="2123">
        <f>J48+L48</f>
        <v>14.5</v>
      </c>
      <c r="J48" s="355">
        <v>14.5</v>
      </c>
      <c r="K48" s="355">
        <v>14.2</v>
      </c>
      <c r="L48" s="356"/>
      <c r="M48" s="2123">
        <f t="shared" si="20"/>
        <v>0</v>
      </c>
      <c r="N48" s="355"/>
      <c r="O48" s="355"/>
      <c r="P48" s="356"/>
      <c r="Q48" s="2123">
        <v>0</v>
      </c>
      <c r="R48" s="355"/>
      <c r="S48" s="355"/>
      <c r="T48" s="356"/>
      <c r="U48" s="2123">
        <v>0</v>
      </c>
      <c r="V48" s="355"/>
      <c r="W48" s="355"/>
      <c r="X48" s="356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</row>
    <row r="49" spans="1:59" s="358" customFormat="1" ht="12" thickBot="1" x14ac:dyDescent="0.25">
      <c r="A49" s="2558"/>
      <c r="B49" s="2545"/>
      <c r="C49" s="2530"/>
      <c r="D49" s="2528"/>
      <c r="E49" s="2624"/>
      <c r="F49" s="2512"/>
      <c r="G49" s="2513"/>
      <c r="H49" s="2093" t="s">
        <v>33</v>
      </c>
      <c r="I49" s="2123">
        <f>J49+L49</f>
        <v>92.3</v>
      </c>
      <c r="J49" s="355">
        <f>88.1+4.2</f>
        <v>92.3</v>
      </c>
      <c r="K49" s="355">
        <v>86.8</v>
      </c>
      <c r="L49" s="356">
        <v>0</v>
      </c>
      <c r="M49" s="2123">
        <f>N49+P49</f>
        <v>80</v>
      </c>
      <c r="N49" s="1541">
        <v>80</v>
      </c>
      <c r="O49" s="1541">
        <v>78.900000000000006</v>
      </c>
      <c r="P49" s="356">
        <v>0</v>
      </c>
      <c r="Q49" s="2123">
        <f>R49+T49</f>
        <v>80.599999999999994</v>
      </c>
      <c r="R49" s="355">
        <v>80.599999999999994</v>
      </c>
      <c r="S49" s="355">
        <v>79.400000000000006</v>
      </c>
      <c r="T49" s="356">
        <v>0</v>
      </c>
      <c r="U49" s="2123">
        <f>V49+X49</f>
        <v>80.599999999999994</v>
      </c>
      <c r="V49" s="355">
        <v>80.599999999999994</v>
      </c>
      <c r="W49" s="355">
        <v>79.400000000000006</v>
      </c>
      <c r="X49" s="356">
        <v>0</v>
      </c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</row>
    <row r="50" spans="1:59" s="358" customFormat="1" ht="12" thickBot="1" x14ac:dyDescent="0.25">
      <c r="A50" s="2559"/>
      <c r="B50" s="2545"/>
      <c r="C50" s="2530"/>
      <c r="D50" s="2529"/>
      <c r="E50" s="2624"/>
      <c r="F50" s="2516" t="s">
        <v>35</v>
      </c>
      <c r="G50" s="2517"/>
      <c r="H50" s="2517"/>
      <c r="I50" s="362">
        <f t="shared" ref="I50" si="21">SUM(I43:I49)</f>
        <v>2569.1000000000004</v>
      </c>
      <c r="J50" s="360">
        <f>SUM(J43:J49)</f>
        <v>2510.4000000000005</v>
      </c>
      <c r="K50" s="360">
        <f>SUM(K43:K49)</f>
        <v>2171.1999999999998</v>
      </c>
      <c r="L50" s="361">
        <f t="shared" ref="L50" si="22">SUM(L43:L49)</f>
        <v>58.7</v>
      </c>
      <c r="M50" s="362">
        <f>N50+P50</f>
        <v>2742.7</v>
      </c>
      <c r="N50" s="360">
        <f>N43+N44+N45+N46+N48+N49</f>
        <v>2742.7</v>
      </c>
      <c r="O50" s="360">
        <f>O43+O44+O45+O46+O48+O49</f>
        <v>2427.9</v>
      </c>
      <c r="P50" s="361">
        <f t="shared" ref="P50" si="23">SUM(P43:P49)</f>
        <v>0</v>
      </c>
      <c r="Q50" s="362">
        <f>R50+T50</f>
        <v>2767.1</v>
      </c>
      <c r="R50" s="360">
        <f>R43+R44+R45+R46+R48+R49</f>
        <v>2767.1</v>
      </c>
      <c r="S50" s="360">
        <f>S43+S44+S45+S46+S48+S49</f>
        <v>2458.8000000000002</v>
      </c>
      <c r="T50" s="361">
        <v>0</v>
      </c>
      <c r="U50" s="362">
        <f>V50+X50</f>
        <v>2767.1</v>
      </c>
      <c r="V50" s="360">
        <f>V43+V44+V45+V46+V48+V49</f>
        <v>2767.1</v>
      </c>
      <c r="W50" s="360">
        <f>W43+W44+W45+W46+W48+W49</f>
        <v>2458.8000000000002</v>
      </c>
      <c r="X50" s="361">
        <v>0</v>
      </c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</row>
    <row r="51" spans="1:59" ht="11.25" x14ac:dyDescent="0.2">
      <c r="A51" s="2557">
        <v>1</v>
      </c>
      <c r="B51" s="2545">
        <v>1</v>
      </c>
      <c r="C51" s="2530">
        <v>6</v>
      </c>
      <c r="D51" s="2527" t="s">
        <v>49</v>
      </c>
      <c r="E51" s="2622" t="s">
        <v>50</v>
      </c>
      <c r="F51" s="2531" t="s">
        <v>44</v>
      </c>
      <c r="G51" s="2531" t="s">
        <v>51</v>
      </c>
      <c r="H51" s="364" t="s">
        <v>28</v>
      </c>
      <c r="I51" s="348">
        <f>J51+L51</f>
        <v>1029.0999999999999</v>
      </c>
      <c r="J51" s="349">
        <v>1029.0999999999999</v>
      </c>
      <c r="K51" s="349">
        <v>989.6</v>
      </c>
      <c r="L51" s="350"/>
      <c r="M51" s="348">
        <f>N51+P51</f>
        <v>1206.0999999999999</v>
      </c>
      <c r="N51" s="349">
        <v>1206.0999999999999</v>
      </c>
      <c r="O51" s="349">
        <v>1159.5</v>
      </c>
      <c r="P51" s="350"/>
      <c r="Q51" s="348">
        <f>R51+T51</f>
        <v>1206.0999999999999</v>
      </c>
      <c r="R51" s="349">
        <v>1206.0999999999999</v>
      </c>
      <c r="S51" s="349">
        <v>1161.5999999999999</v>
      </c>
      <c r="T51" s="350"/>
      <c r="U51" s="348">
        <f>V51+X51</f>
        <v>1206.0999999999999</v>
      </c>
      <c r="V51" s="349">
        <v>1206.0999999999999</v>
      </c>
      <c r="W51" s="349">
        <v>1161.5999999999999</v>
      </c>
      <c r="X51" s="350"/>
    </row>
    <row r="52" spans="1:59" ht="33.75" x14ac:dyDescent="0.2">
      <c r="A52" s="2558"/>
      <c r="B52" s="2545"/>
      <c r="C52" s="2530"/>
      <c r="D52" s="2528"/>
      <c r="E52" s="2622"/>
      <c r="F52" s="2531"/>
      <c r="G52" s="2531"/>
      <c r="H52" s="2088" t="s">
        <v>29</v>
      </c>
      <c r="I52" s="348">
        <v>10</v>
      </c>
      <c r="J52" s="349">
        <v>10</v>
      </c>
      <c r="K52" s="349"/>
      <c r="L52" s="350"/>
      <c r="M52" s="348"/>
      <c r="N52" s="349"/>
      <c r="O52" s="349"/>
      <c r="P52" s="350"/>
      <c r="Q52" s="348"/>
      <c r="R52" s="349"/>
      <c r="S52" s="349"/>
      <c r="T52" s="350"/>
      <c r="U52" s="348"/>
      <c r="V52" s="349"/>
      <c r="W52" s="349"/>
      <c r="X52" s="350"/>
    </row>
    <row r="53" spans="1:59" ht="11.25" x14ac:dyDescent="0.2">
      <c r="A53" s="2558"/>
      <c r="B53" s="2545"/>
      <c r="C53" s="2530"/>
      <c r="D53" s="2528"/>
      <c r="E53" s="2622"/>
      <c r="F53" s="2530"/>
      <c r="G53" s="2530"/>
      <c r="H53" s="2093" t="s">
        <v>30</v>
      </c>
      <c r="I53" s="2122">
        <f>J53+L53</f>
        <v>892.5</v>
      </c>
      <c r="J53" s="2380">
        <v>872.4</v>
      </c>
      <c r="K53" s="2380">
        <v>649</v>
      </c>
      <c r="L53" s="2381">
        <v>20.100000000000001</v>
      </c>
      <c r="M53" s="2122">
        <f>N53+P53</f>
        <v>1026.8</v>
      </c>
      <c r="N53" s="2079">
        <v>1026.8</v>
      </c>
      <c r="O53" s="2079">
        <v>803</v>
      </c>
      <c r="P53" s="2080"/>
      <c r="Q53" s="2122">
        <v>1063.2</v>
      </c>
      <c r="R53" s="2079">
        <v>1063.2</v>
      </c>
      <c r="S53" s="2079">
        <v>838.9</v>
      </c>
      <c r="T53" s="2080"/>
      <c r="U53" s="2122">
        <v>1063.2</v>
      </c>
      <c r="V53" s="2079">
        <v>1063.2</v>
      </c>
      <c r="W53" s="2079">
        <v>838.9</v>
      </c>
      <c r="X53" s="2080"/>
    </row>
    <row r="54" spans="1:59" s="358" customFormat="1" ht="22.5" customHeight="1" x14ac:dyDescent="0.2">
      <c r="A54" s="2558"/>
      <c r="B54" s="2545"/>
      <c r="C54" s="2530"/>
      <c r="D54" s="2528"/>
      <c r="E54" s="2622"/>
      <c r="F54" s="2510"/>
      <c r="G54" s="2510"/>
      <c r="H54" s="2093" t="s">
        <v>31</v>
      </c>
      <c r="I54" s="2123">
        <v>8.4</v>
      </c>
      <c r="J54" s="355">
        <f>3.4+5</f>
        <v>8.4</v>
      </c>
      <c r="K54" s="355">
        <f>3.4+5</f>
        <v>8.4</v>
      </c>
      <c r="L54" s="356"/>
      <c r="M54" s="2123">
        <f t="shared" ref="M54" si="24">N54+P54</f>
        <v>0</v>
      </c>
      <c r="N54" s="355"/>
      <c r="O54" s="355"/>
      <c r="P54" s="356"/>
      <c r="Q54" s="2123">
        <v>0</v>
      </c>
      <c r="R54" s="355"/>
      <c r="S54" s="355"/>
      <c r="T54" s="356"/>
      <c r="U54" s="2123">
        <v>0</v>
      </c>
      <c r="V54" s="355"/>
      <c r="W54" s="355"/>
      <c r="X54" s="356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</row>
    <row r="55" spans="1:59" s="358" customFormat="1" ht="11.25" x14ac:dyDescent="0.2">
      <c r="A55" s="2558"/>
      <c r="B55" s="2545"/>
      <c r="C55" s="2530"/>
      <c r="D55" s="2528"/>
      <c r="E55" s="2622"/>
      <c r="F55" s="2510"/>
      <c r="G55" s="2510"/>
      <c r="H55" s="2093" t="s">
        <v>33</v>
      </c>
      <c r="I55" s="2123">
        <f>J55+L55</f>
        <v>3.5</v>
      </c>
      <c r="J55" s="355">
        <v>3.5</v>
      </c>
      <c r="K55" s="355"/>
      <c r="L55" s="356"/>
      <c r="M55" s="2123">
        <v>1.5</v>
      </c>
      <c r="N55" s="355">
        <v>1.5</v>
      </c>
      <c r="O55" s="355">
        <v>1.5</v>
      </c>
      <c r="P55" s="356"/>
      <c r="Q55" s="2123">
        <v>0</v>
      </c>
      <c r="R55" s="355"/>
      <c r="S55" s="355"/>
      <c r="T55" s="356"/>
      <c r="U55" s="2123">
        <v>0</v>
      </c>
      <c r="V55" s="355"/>
      <c r="W55" s="355"/>
      <c r="X55" s="356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</row>
    <row r="56" spans="1:59" ht="11.25" x14ac:dyDescent="0.2">
      <c r="A56" s="2558"/>
      <c r="B56" s="2545"/>
      <c r="C56" s="2530"/>
      <c r="D56" s="2528"/>
      <c r="E56" s="2622"/>
      <c r="F56" s="2510"/>
      <c r="G56" s="2510"/>
      <c r="H56" s="2093" t="s">
        <v>32</v>
      </c>
      <c r="I56" s="2123">
        <f>J56+L56</f>
        <v>8.4</v>
      </c>
      <c r="J56" s="355">
        <v>7.6</v>
      </c>
      <c r="K56" s="355"/>
      <c r="L56" s="356">
        <v>0.8</v>
      </c>
      <c r="M56" s="2123"/>
      <c r="N56" s="355"/>
      <c r="O56" s="355"/>
      <c r="P56" s="356"/>
      <c r="Q56" s="2123"/>
      <c r="R56" s="355"/>
      <c r="S56" s="355"/>
      <c r="T56" s="356"/>
      <c r="U56" s="2123"/>
      <c r="V56" s="355"/>
      <c r="W56" s="355"/>
      <c r="X56" s="356"/>
    </row>
    <row r="57" spans="1:59" ht="12" thickBot="1" x14ac:dyDescent="0.25">
      <c r="A57" s="2558"/>
      <c r="B57" s="2545"/>
      <c r="C57" s="2530"/>
      <c r="D57" s="2528"/>
      <c r="E57" s="2622"/>
      <c r="F57" s="2510"/>
      <c r="G57" s="2510"/>
      <c r="H57" s="2093" t="s">
        <v>34</v>
      </c>
      <c r="I57" s="2123">
        <f>J57+L57</f>
        <v>51.3</v>
      </c>
      <c r="J57" s="366">
        <v>51.3</v>
      </c>
      <c r="K57" s="355">
        <v>6.4</v>
      </c>
      <c r="L57" s="356"/>
      <c r="M57" s="2123">
        <f>N57+P57</f>
        <v>85.4</v>
      </c>
      <c r="N57" s="355">
        <v>85.4</v>
      </c>
      <c r="O57" s="355">
        <v>11.3</v>
      </c>
      <c r="P57" s="356"/>
      <c r="Q57" s="2123">
        <v>85.4</v>
      </c>
      <c r="R57" s="355">
        <v>85.4</v>
      </c>
      <c r="S57" s="355">
        <v>11.3</v>
      </c>
      <c r="T57" s="356"/>
      <c r="U57" s="2123">
        <v>85.4</v>
      </c>
      <c r="V57" s="355">
        <v>85.4</v>
      </c>
      <c r="W57" s="355">
        <v>11.3</v>
      </c>
      <c r="X57" s="356"/>
    </row>
    <row r="58" spans="1:59" ht="12" thickBot="1" x14ac:dyDescent="0.25">
      <c r="A58" s="2559"/>
      <c r="B58" s="2545"/>
      <c r="C58" s="2530"/>
      <c r="D58" s="2529"/>
      <c r="E58" s="2622"/>
      <c r="F58" s="2516" t="s">
        <v>35</v>
      </c>
      <c r="G58" s="2517"/>
      <c r="H58" s="2517"/>
      <c r="I58" s="362">
        <f>SUM(I51:I57)</f>
        <v>2003.2</v>
      </c>
      <c r="J58" s="360">
        <f>SUM(J51:J57)</f>
        <v>1982.3</v>
      </c>
      <c r="K58" s="360">
        <f t="shared" ref="K58:L58" si="25">SUM(K51:K57)</f>
        <v>1653.4</v>
      </c>
      <c r="L58" s="361">
        <f t="shared" si="25"/>
        <v>20.900000000000002</v>
      </c>
      <c r="M58" s="362">
        <f>N58+P58</f>
        <v>2319.7999999999997</v>
      </c>
      <c r="N58" s="360">
        <f>N51+N52+N53+N54+N55+N56+N57</f>
        <v>2319.7999999999997</v>
      </c>
      <c r="O58" s="360">
        <f>O51+O52+O53+O54+O55+O56+O57</f>
        <v>1975.3</v>
      </c>
      <c r="P58" s="361">
        <f t="shared" ref="P58" si="26">SUM(P51:P57)</f>
        <v>0</v>
      </c>
      <c r="Q58" s="362">
        <f>R58+T58</f>
        <v>2354.7000000000003</v>
      </c>
      <c r="R58" s="360">
        <f>R51+R52+R53+R54+R55+R56+R57</f>
        <v>2354.7000000000003</v>
      </c>
      <c r="S58" s="360">
        <f>S51+S52+S53+S54+S55+S56+S57</f>
        <v>2011.8</v>
      </c>
      <c r="T58" s="361">
        <v>0</v>
      </c>
      <c r="U58" s="362">
        <f>V58+X58</f>
        <v>2354.7000000000003</v>
      </c>
      <c r="V58" s="360">
        <f>V51+V52+V53+V54+V55+V56+V57</f>
        <v>2354.7000000000003</v>
      </c>
      <c r="W58" s="360">
        <f>W51+W52+W53+W54+W55+W56+W57</f>
        <v>2011.8</v>
      </c>
      <c r="X58" s="361">
        <v>0</v>
      </c>
    </row>
    <row r="59" spans="1:59" ht="11.25" x14ac:dyDescent="0.2">
      <c r="A59" s="2557">
        <v>1</v>
      </c>
      <c r="B59" s="2545">
        <v>1</v>
      </c>
      <c r="C59" s="2530">
        <v>7</v>
      </c>
      <c r="D59" s="2527" t="s">
        <v>52</v>
      </c>
      <c r="E59" s="2532" t="s">
        <v>53</v>
      </c>
      <c r="F59" s="2531" t="s">
        <v>26</v>
      </c>
      <c r="G59" s="2531" t="s">
        <v>54</v>
      </c>
      <c r="H59" s="364" t="s">
        <v>28</v>
      </c>
      <c r="I59" s="348">
        <f>J59+L59</f>
        <v>345.7</v>
      </c>
      <c r="J59" s="349">
        <v>345.7</v>
      </c>
      <c r="K59" s="349">
        <v>328.3</v>
      </c>
      <c r="L59" s="350">
        <v>0</v>
      </c>
      <c r="M59" s="348">
        <f>N59+P59</f>
        <v>372.1</v>
      </c>
      <c r="N59" s="349">
        <v>372.1</v>
      </c>
      <c r="O59" s="349">
        <v>360.2</v>
      </c>
      <c r="P59" s="350">
        <v>0</v>
      </c>
      <c r="Q59" s="348">
        <f>R59+T59</f>
        <v>372.1</v>
      </c>
      <c r="R59" s="349">
        <v>372.1</v>
      </c>
      <c r="S59" s="349">
        <v>361</v>
      </c>
      <c r="T59" s="350">
        <v>0</v>
      </c>
      <c r="U59" s="348">
        <f>V59+X59</f>
        <v>372.1</v>
      </c>
      <c r="V59" s="349">
        <v>372.1</v>
      </c>
      <c r="W59" s="349">
        <v>361</v>
      </c>
      <c r="X59" s="350">
        <v>0</v>
      </c>
    </row>
    <row r="60" spans="1:59" ht="24" customHeight="1" x14ac:dyDescent="0.2">
      <c r="A60" s="2558"/>
      <c r="B60" s="2545"/>
      <c r="C60" s="2530"/>
      <c r="D60" s="2528"/>
      <c r="E60" s="2532"/>
      <c r="F60" s="2531"/>
      <c r="G60" s="2531"/>
      <c r="H60" s="2088" t="s">
        <v>29</v>
      </c>
      <c r="I60" s="348">
        <v>1.6</v>
      </c>
      <c r="J60" s="349">
        <v>1.6</v>
      </c>
      <c r="K60" s="349"/>
      <c r="L60" s="350"/>
      <c r="M60" s="348"/>
      <c r="N60" s="349"/>
      <c r="O60" s="349"/>
      <c r="P60" s="350"/>
      <c r="Q60" s="348"/>
      <c r="R60" s="349"/>
      <c r="S60" s="349"/>
      <c r="T60" s="350"/>
      <c r="U60" s="348"/>
      <c r="V60" s="349"/>
      <c r="W60" s="349"/>
      <c r="X60" s="350"/>
    </row>
    <row r="61" spans="1:59" ht="11.25" x14ac:dyDescent="0.2">
      <c r="A61" s="2558"/>
      <c r="B61" s="2545"/>
      <c r="C61" s="2530"/>
      <c r="D61" s="2528"/>
      <c r="E61" s="2532"/>
      <c r="F61" s="2530"/>
      <c r="G61" s="2530"/>
      <c r="H61" s="2093" t="s">
        <v>30</v>
      </c>
      <c r="I61" s="2122">
        <f>J61+L61</f>
        <v>386.3</v>
      </c>
      <c r="J61" s="2380">
        <v>363</v>
      </c>
      <c r="K61" s="2380">
        <v>269.2</v>
      </c>
      <c r="L61" s="2381">
        <v>23.3</v>
      </c>
      <c r="M61" s="2122">
        <f>N61+P61</f>
        <v>379.3</v>
      </c>
      <c r="N61" s="2079">
        <v>379.3</v>
      </c>
      <c r="O61" s="2079">
        <v>298.5</v>
      </c>
      <c r="P61" s="2080"/>
      <c r="Q61" s="2122">
        <v>398.2</v>
      </c>
      <c r="R61" s="2079">
        <v>398.2</v>
      </c>
      <c r="S61" s="2079">
        <v>316.89999999999998</v>
      </c>
      <c r="T61" s="2080"/>
      <c r="U61" s="2122">
        <v>398.2</v>
      </c>
      <c r="V61" s="2079">
        <v>398.2</v>
      </c>
      <c r="W61" s="2079">
        <v>316.89999999999998</v>
      </c>
      <c r="X61" s="2080"/>
    </row>
    <row r="62" spans="1:59" ht="11.25" x14ac:dyDescent="0.2">
      <c r="A62" s="2558"/>
      <c r="B62" s="2545"/>
      <c r="C62" s="2530"/>
      <c r="D62" s="2528"/>
      <c r="E62" s="2532"/>
      <c r="F62" s="2510"/>
      <c r="G62" s="2510"/>
      <c r="H62" s="367" t="s">
        <v>33</v>
      </c>
      <c r="I62" s="2123">
        <f>J62+L62</f>
        <v>5.6</v>
      </c>
      <c r="J62" s="355">
        <v>5.6</v>
      </c>
      <c r="K62" s="355"/>
      <c r="L62" s="356"/>
      <c r="M62" s="2123"/>
      <c r="N62" s="355"/>
      <c r="O62" s="355"/>
      <c r="P62" s="356"/>
      <c r="Q62" s="2123"/>
      <c r="R62" s="355"/>
      <c r="S62" s="355"/>
      <c r="T62" s="356"/>
      <c r="U62" s="2123"/>
      <c r="V62" s="355"/>
      <c r="W62" s="355"/>
      <c r="X62" s="356"/>
    </row>
    <row r="63" spans="1:59" s="358" customFormat="1" ht="21" customHeight="1" x14ac:dyDescent="0.2">
      <c r="A63" s="2558"/>
      <c r="B63" s="2545"/>
      <c r="C63" s="2530"/>
      <c r="D63" s="2528"/>
      <c r="E63" s="2532"/>
      <c r="F63" s="2510"/>
      <c r="G63" s="2510"/>
      <c r="H63" s="2093" t="s">
        <v>31</v>
      </c>
      <c r="I63" s="2123">
        <f>J63+L63</f>
        <v>0.6</v>
      </c>
      <c r="J63" s="355">
        <v>0.6</v>
      </c>
      <c r="K63" s="355">
        <v>0.6</v>
      </c>
      <c r="L63" s="356"/>
      <c r="M63" s="2123">
        <f t="shared" ref="M63" si="27">N63+P63</f>
        <v>0</v>
      </c>
      <c r="N63" s="355"/>
      <c r="O63" s="355"/>
      <c r="P63" s="356"/>
      <c r="Q63" s="2123">
        <v>0</v>
      </c>
      <c r="R63" s="355"/>
      <c r="S63" s="355"/>
      <c r="T63" s="356"/>
      <c r="U63" s="2123">
        <v>0</v>
      </c>
      <c r="V63" s="355"/>
      <c r="W63" s="355"/>
      <c r="X63" s="356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</row>
    <row r="64" spans="1:59" s="358" customFormat="1" ht="12" thickBot="1" x14ac:dyDescent="0.25">
      <c r="A64" s="2558"/>
      <c r="B64" s="2545"/>
      <c r="C64" s="2530"/>
      <c r="D64" s="2528"/>
      <c r="E64" s="2532"/>
      <c r="F64" s="2510"/>
      <c r="G64" s="2510"/>
      <c r="H64" s="2093" t="s">
        <v>34</v>
      </c>
      <c r="I64" s="2123">
        <f>J64+L64</f>
        <v>22.8</v>
      </c>
      <c r="J64" s="355">
        <v>22.8</v>
      </c>
      <c r="K64" s="355">
        <v>3</v>
      </c>
      <c r="L64" s="356"/>
      <c r="M64" s="2123">
        <f>N64+P64</f>
        <v>31.5</v>
      </c>
      <c r="N64" s="355">
        <v>31.5</v>
      </c>
      <c r="O64" s="355">
        <v>4.7</v>
      </c>
      <c r="P64" s="356"/>
      <c r="Q64" s="2123">
        <v>31.5</v>
      </c>
      <c r="R64" s="355">
        <v>31.5</v>
      </c>
      <c r="S64" s="355">
        <v>4.7</v>
      </c>
      <c r="T64" s="356"/>
      <c r="U64" s="2123">
        <v>31.5</v>
      </c>
      <c r="V64" s="355">
        <v>31.5</v>
      </c>
      <c r="W64" s="355">
        <v>4.7</v>
      </c>
      <c r="X64" s="356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</row>
    <row r="65" spans="1:59" ht="12" thickBot="1" x14ac:dyDescent="0.25">
      <c r="A65" s="2559"/>
      <c r="B65" s="2545"/>
      <c r="C65" s="2530"/>
      <c r="D65" s="2529"/>
      <c r="E65" s="2532"/>
      <c r="F65" s="2516" t="s">
        <v>35</v>
      </c>
      <c r="G65" s="2517"/>
      <c r="H65" s="2517"/>
      <c r="I65" s="362">
        <f t="shared" ref="I65:L65" si="28">SUM(I59:I64)</f>
        <v>762.6</v>
      </c>
      <c r="J65" s="360">
        <f t="shared" si="28"/>
        <v>739.3</v>
      </c>
      <c r="K65" s="360">
        <f t="shared" si="28"/>
        <v>601.1</v>
      </c>
      <c r="L65" s="361">
        <f t="shared" si="28"/>
        <v>23.3</v>
      </c>
      <c r="M65" s="359">
        <f>N65+P65</f>
        <v>782.90000000000009</v>
      </c>
      <c r="N65" s="360">
        <f>SUM(N59:N64)</f>
        <v>782.90000000000009</v>
      </c>
      <c r="O65" s="360">
        <f>SUM(O59:O64)</f>
        <v>663.40000000000009</v>
      </c>
      <c r="P65" s="361">
        <f>SUM(P59:P64)</f>
        <v>0</v>
      </c>
      <c r="Q65" s="359">
        <f>R65+T65</f>
        <v>801.8</v>
      </c>
      <c r="R65" s="360">
        <f>R59+R60+R61+R62+R63+R64</f>
        <v>801.8</v>
      </c>
      <c r="S65" s="360">
        <f>S59+S60+S61+S62+S63+S64</f>
        <v>682.6</v>
      </c>
      <c r="T65" s="361">
        <v>0</v>
      </c>
      <c r="U65" s="359">
        <f>V65+X65</f>
        <v>801.8</v>
      </c>
      <c r="V65" s="360">
        <f>V59+V60+V61+V62+V63+V64</f>
        <v>801.8</v>
      </c>
      <c r="W65" s="360">
        <f>W59+W60+W61+W62+W63+W64</f>
        <v>682.6</v>
      </c>
      <c r="X65" s="361">
        <v>0</v>
      </c>
    </row>
    <row r="66" spans="1:59" ht="11.25" x14ac:dyDescent="0.2">
      <c r="A66" s="2557">
        <v>1</v>
      </c>
      <c r="B66" s="2545">
        <v>1</v>
      </c>
      <c r="C66" s="2530">
        <v>8</v>
      </c>
      <c r="D66" s="2527" t="s">
        <v>55</v>
      </c>
      <c r="E66" s="2532" t="s">
        <v>56</v>
      </c>
      <c r="F66" s="2531" t="s">
        <v>26</v>
      </c>
      <c r="G66" s="2531" t="s">
        <v>57</v>
      </c>
      <c r="H66" s="2091" t="s">
        <v>28</v>
      </c>
      <c r="I66" s="348">
        <f>J66+L66</f>
        <v>384.9</v>
      </c>
      <c r="J66" s="349">
        <f>364.7+20.2</f>
        <v>384.9</v>
      </c>
      <c r="K66" s="349">
        <v>372.5</v>
      </c>
      <c r="L66" s="350">
        <v>0</v>
      </c>
      <c r="M66" s="348">
        <f>N66+P66</f>
        <v>467.2</v>
      </c>
      <c r="N66" s="349">
        <v>467.2</v>
      </c>
      <c r="O66" s="349">
        <v>450.7</v>
      </c>
      <c r="P66" s="350">
        <v>0</v>
      </c>
      <c r="Q66" s="348">
        <f>R66+T66</f>
        <v>467.2</v>
      </c>
      <c r="R66" s="349">
        <v>467.2</v>
      </c>
      <c r="S66" s="349">
        <v>451.9</v>
      </c>
      <c r="T66" s="350">
        <v>0</v>
      </c>
      <c r="U66" s="348">
        <f>V66+X66</f>
        <v>467.2</v>
      </c>
      <c r="V66" s="349">
        <v>467.2</v>
      </c>
      <c r="W66" s="349">
        <v>451.9</v>
      </c>
      <c r="X66" s="350">
        <v>0</v>
      </c>
    </row>
    <row r="67" spans="1:59" ht="33.75" x14ac:dyDescent="0.2">
      <c r="A67" s="2558"/>
      <c r="B67" s="2545"/>
      <c r="C67" s="2530"/>
      <c r="D67" s="2528"/>
      <c r="E67" s="2532"/>
      <c r="F67" s="2531"/>
      <c r="G67" s="2531"/>
      <c r="H67" s="2091" t="s">
        <v>29</v>
      </c>
      <c r="I67" s="348">
        <v>2.9</v>
      </c>
      <c r="J67" s="349">
        <v>2.9</v>
      </c>
      <c r="K67" s="349"/>
      <c r="L67" s="350"/>
      <c r="M67" s="348"/>
      <c r="N67" s="349"/>
      <c r="O67" s="349"/>
      <c r="P67" s="350"/>
      <c r="Q67" s="348"/>
      <c r="R67" s="349"/>
      <c r="S67" s="349"/>
      <c r="T67" s="350"/>
      <c r="U67" s="348"/>
      <c r="V67" s="349"/>
      <c r="W67" s="349"/>
      <c r="X67" s="350"/>
    </row>
    <row r="68" spans="1:59" s="358" customFormat="1" ht="11.25" x14ac:dyDescent="0.2">
      <c r="A68" s="2558"/>
      <c r="B68" s="2545"/>
      <c r="C68" s="2530"/>
      <c r="D68" s="2528"/>
      <c r="E68" s="2532"/>
      <c r="F68" s="2530"/>
      <c r="G68" s="2530"/>
      <c r="H68" s="2092" t="s">
        <v>30</v>
      </c>
      <c r="I68" s="2122">
        <f t="shared" ref="I68:I69" si="29">J68+L68</f>
        <v>286.89999999999998</v>
      </c>
      <c r="J68" s="2380">
        <v>278.5</v>
      </c>
      <c r="K68" s="2380">
        <v>216.1</v>
      </c>
      <c r="L68" s="2381">
        <v>8.4</v>
      </c>
      <c r="M68" s="2122">
        <f t="shared" ref="M68:M72" si="30">N68+P68</f>
        <v>279.2</v>
      </c>
      <c r="N68" s="2079">
        <v>279.2</v>
      </c>
      <c r="O68" s="2079">
        <v>223.7</v>
      </c>
      <c r="P68" s="2080"/>
      <c r="Q68" s="2122">
        <v>224.5</v>
      </c>
      <c r="R68" s="2079">
        <v>224.5</v>
      </c>
      <c r="S68" s="2079">
        <v>170.4</v>
      </c>
      <c r="T68" s="2080"/>
      <c r="U68" s="2122">
        <v>224.5</v>
      </c>
      <c r="V68" s="2079">
        <v>224.5</v>
      </c>
      <c r="W68" s="2079">
        <v>170.4</v>
      </c>
      <c r="X68" s="2080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</row>
    <row r="69" spans="1:59" s="358" customFormat="1" ht="21" customHeight="1" x14ac:dyDescent="0.2">
      <c r="A69" s="2558"/>
      <c r="B69" s="2545"/>
      <c r="C69" s="2530"/>
      <c r="D69" s="2528"/>
      <c r="E69" s="2532"/>
      <c r="F69" s="2510"/>
      <c r="G69" s="2510"/>
      <c r="H69" s="2093" t="s">
        <v>31</v>
      </c>
      <c r="I69" s="2123">
        <f t="shared" si="29"/>
        <v>1.7</v>
      </c>
      <c r="J69" s="355">
        <v>1.7</v>
      </c>
      <c r="K69" s="355">
        <v>1.7</v>
      </c>
      <c r="L69" s="356"/>
      <c r="M69" s="2123">
        <f t="shared" si="30"/>
        <v>0</v>
      </c>
      <c r="N69" s="355"/>
      <c r="O69" s="355"/>
      <c r="P69" s="356"/>
      <c r="Q69" s="2123">
        <v>0</v>
      </c>
      <c r="R69" s="355"/>
      <c r="S69" s="355"/>
      <c r="T69" s="356"/>
      <c r="U69" s="2123">
        <v>0</v>
      </c>
      <c r="V69" s="355"/>
      <c r="W69" s="355"/>
      <c r="X69" s="356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39"/>
      <c r="BE69" s="339"/>
      <c r="BF69" s="339"/>
      <c r="BG69" s="339"/>
    </row>
    <row r="70" spans="1:59" s="358" customFormat="1" ht="21" customHeight="1" x14ac:dyDescent="0.2">
      <c r="A70" s="2558"/>
      <c r="B70" s="2545"/>
      <c r="C70" s="2530"/>
      <c r="D70" s="2528"/>
      <c r="E70" s="2532"/>
      <c r="F70" s="2510"/>
      <c r="G70" s="2510"/>
      <c r="H70" s="2093" t="s">
        <v>32</v>
      </c>
      <c r="I70" s="2123">
        <f>J70+L70</f>
        <v>1.9000000000000001</v>
      </c>
      <c r="J70" s="355">
        <v>1.1000000000000001</v>
      </c>
      <c r="K70" s="355"/>
      <c r="L70" s="356">
        <v>0.8</v>
      </c>
      <c r="M70" s="2123"/>
      <c r="N70" s="355"/>
      <c r="O70" s="355"/>
      <c r="P70" s="356"/>
      <c r="Q70" s="2123"/>
      <c r="R70" s="355"/>
      <c r="S70" s="355"/>
      <c r="T70" s="356"/>
      <c r="U70" s="2123"/>
      <c r="V70" s="355"/>
      <c r="W70" s="355"/>
      <c r="X70" s="356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</row>
    <row r="71" spans="1:59" s="358" customFormat="1" ht="11.25" x14ac:dyDescent="0.2">
      <c r="A71" s="2558"/>
      <c r="B71" s="2545"/>
      <c r="C71" s="2530"/>
      <c r="D71" s="2528"/>
      <c r="E71" s="2532"/>
      <c r="F71" s="2510"/>
      <c r="G71" s="2510"/>
      <c r="H71" s="2093" t="s">
        <v>33</v>
      </c>
      <c r="I71" s="2123">
        <f>J71+L71</f>
        <v>0</v>
      </c>
      <c r="J71" s="355"/>
      <c r="K71" s="355"/>
      <c r="L71" s="356"/>
      <c r="M71" s="2123">
        <v>1.5</v>
      </c>
      <c r="N71" s="355">
        <v>1.5</v>
      </c>
      <c r="O71" s="355">
        <v>1.5</v>
      </c>
      <c r="P71" s="356"/>
      <c r="Q71" s="2123">
        <v>0</v>
      </c>
      <c r="R71" s="355"/>
      <c r="S71" s="355"/>
      <c r="T71" s="356"/>
      <c r="U71" s="2123">
        <v>0</v>
      </c>
      <c r="V71" s="355"/>
      <c r="W71" s="355"/>
      <c r="X71" s="356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/>
    </row>
    <row r="72" spans="1:59" ht="12" thickBot="1" x14ac:dyDescent="0.25">
      <c r="A72" s="2558"/>
      <c r="B72" s="2545"/>
      <c r="C72" s="2530"/>
      <c r="D72" s="2528"/>
      <c r="E72" s="2532"/>
      <c r="F72" s="2510"/>
      <c r="G72" s="2510"/>
      <c r="H72" s="2093" t="s">
        <v>34</v>
      </c>
      <c r="I72" s="2123">
        <f>J72+L72</f>
        <v>3.2</v>
      </c>
      <c r="J72" s="355">
        <v>3.2</v>
      </c>
      <c r="K72" s="355">
        <v>0.3</v>
      </c>
      <c r="L72" s="356"/>
      <c r="M72" s="2123">
        <f t="shared" si="30"/>
        <v>5.9</v>
      </c>
      <c r="N72" s="355">
        <v>5.9</v>
      </c>
      <c r="O72" s="355">
        <v>0.3</v>
      </c>
      <c r="P72" s="356"/>
      <c r="Q72" s="2123">
        <f>R72+T72</f>
        <v>5.9</v>
      </c>
      <c r="R72" s="355">
        <v>5.9</v>
      </c>
      <c r="S72" s="355">
        <v>0.3</v>
      </c>
      <c r="T72" s="356"/>
      <c r="U72" s="2123">
        <v>6.6</v>
      </c>
      <c r="V72" s="355">
        <v>5.9</v>
      </c>
      <c r="W72" s="355">
        <v>0.3</v>
      </c>
      <c r="X72" s="356"/>
    </row>
    <row r="73" spans="1:59" ht="12" thickBot="1" x14ac:dyDescent="0.25">
      <c r="A73" s="2559"/>
      <c r="B73" s="2545"/>
      <c r="C73" s="2530"/>
      <c r="D73" s="2529"/>
      <c r="E73" s="2532"/>
      <c r="F73" s="2516" t="s">
        <v>35</v>
      </c>
      <c r="G73" s="2517"/>
      <c r="H73" s="2517"/>
      <c r="I73" s="359">
        <f t="shared" ref="I73" si="31">J73+L73</f>
        <v>681.50000000000011</v>
      </c>
      <c r="J73" s="360">
        <f>SUM(J66:J72)</f>
        <v>672.30000000000007</v>
      </c>
      <c r="K73" s="360">
        <f>SUM(K66:K72)</f>
        <v>590.6</v>
      </c>
      <c r="L73" s="361">
        <f>SUM(L66:L72)</f>
        <v>9.2000000000000011</v>
      </c>
      <c r="M73" s="359">
        <f>N73+P73</f>
        <v>753.8</v>
      </c>
      <c r="N73" s="360">
        <f>N66+N67+N68+N69+N71+N72</f>
        <v>753.8</v>
      </c>
      <c r="O73" s="360">
        <f>O66+O67+O68+O69+O71+O72</f>
        <v>676.19999999999993</v>
      </c>
      <c r="P73" s="361">
        <f>SUM(P66:P72)</f>
        <v>0</v>
      </c>
      <c r="Q73" s="359">
        <f>R73+T73</f>
        <v>697.6</v>
      </c>
      <c r="R73" s="360">
        <f>R66+R67+R68+R69+R71+R72</f>
        <v>697.6</v>
      </c>
      <c r="S73" s="360">
        <f>S66+S67+S68+S69+S71+S72</f>
        <v>622.59999999999991</v>
      </c>
      <c r="T73" s="361">
        <v>0</v>
      </c>
      <c r="U73" s="359">
        <f>V73+X73</f>
        <v>697.6</v>
      </c>
      <c r="V73" s="360">
        <f>V66+V67+V68+V69+V71+V72</f>
        <v>697.6</v>
      </c>
      <c r="W73" s="360">
        <f>W66+W67+W68+W69+W71+W72</f>
        <v>622.59999999999991</v>
      </c>
      <c r="X73" s="361">
        <v>0</v>
      </c>
    </row>
    <row r="74" spans="1:59" s="358" customFormat="1" ht="11.25" x14ac:dyDescent="0.2">
      <c r="A74" s="2557">
        <v>1</v>
      </c>
      <c r="B74" s="2545">
        <v>1</v>
      </c>
      <c r="C74" s="2530">
        <v>9</v>
      </c>
      <c r="D74" s="2527" t="s">
        <v>58</v>
      </c>
      <c r="E74" s="2532" t="s">
        <v>59</v>
      </c>
      <c r="F74" s="2531" t="s">
        <v>26</v>
      </c>
      <c r="G74" s="2531" t="s">
        <v>60</v>
      </c>
      <c r="H74" s="2091" t="s">
        <v>28</v>
      </c>
      <c r="I74" s="348">
        <f>J74+L74</f>
        <v>955.7</v>
      </c>
      <c r="J74" s="349">
        <v>955.7</v>
      </c>
      <c r="K74" s="349">
        <v>923.9</v>
      </c>
      <c r="L74" s="350"/>
      <c r="M74" s="348">
        <f t="shared" ref="M74" si="32">N74+P74</f>
        <v>1039</v>
      </c>
      <c r="N74" s="349">
        <v>1039</v>
      </c>
      <c r="O74" s="349">
        <v>996</v>
      </c>
      <c r="P74" s="350"/>
      <c r="Q74" s="348">
        <f t="shared" ref="Q74" si="33">R74+T74</f>
        <v>1039</v>
      </c>
      <c r="R74" s="349">
        <v>1039</v>
      </c>
      <c r="S74" s="349">
        <v>998</v>
      </c>
      <c r="T74" s="350"/>
      <c r="U74" s="348">
        <f t="shared" ref="U74" si="34">V74+X74</f>
        <v>1039</v>
      </c>
      <c r="V74" s="349">
        <v>1039</v>
      </c>
      <c r="W74" s="349">
        <v>998</v>
      </c>
      <c r="X74" s="350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/>
    </row>
    <row r="75" spans="1:59" ht="33.75" x14ac:dyDescent="0.2">
      <c r="A75" s="2558"/>
      <c r="B75" s="2545"/>
      <c r="C75" s="2530"/>
      <c r="D75" s="2528"/>
      <c r="E75" s="2532"/>
      <c r="F75" s="2531"/>
      <c r="G75" s="2531"/>
      <c r="H75" s="2088" t="s">
        <v>29</v>
      </c>
      <c r="I75" s="348">
        <f>J75+L75</f>
        <v>8.5</v>
      </c>
      <c r="J75" s="349">
        <v>3.5</v>
      </c>
      <c r="K75" s="349"/>
      <c r="L75" s="350">
        <v>5</v>
      </c>
      <c r="M75" s="348"/>
      <c r="N75" s="349"/>
      <c r="O75" s="349"/>
      <c r="P75" s="350"/>
      <c r="Q75" s="348"/>
      <c r="R75" s="349"/>
      <c r="S75" s="349"/>
      <c r="T75" s="350"/>
      <c r="U75" s="348"/>
      <c r="V75" s="349"/>
      <c r="W75" s="349"/>
      <c r="X75" s="350"/>
    </row>
    <row r="76" spans="1:59" ht="11.25" x14ac:dyDescent="0.2">
      <c r="A76" s="2558"/>
      <c r="B76" s="2545"/>
      <c r="C76" s="2530"/>
      <c r="D76" s="2528"/>
      <c r="E76" s="2532"/>
      <c r="F76" s="2530"/>
      <c r="G76" s="2530"/>
      <c r="H76" s="2093" t="s">
        <v>30</v>
      </c>
      <c r="I76" s="2122">
        <f t="shared" ref="I76:I78" si="35">J76+L76</f>
        <v>849.4</v>
      </c>
      <c r="J76" s="2380">
        <v>816</v>
      </c>
      <c r="K76" s="2380">
        <v>653.79999999999995</v>
      </c>
      <c r="L76" s="2381">
        <v>33.4</v>
      </c>
      <c r="M76" s="2122">
        <f t="shared" ref="M76:M79" si="36">N76+P76</f>
        <v>1080.9000000000001</v>
      </c>
      <c r="N76" s="2079">
        <v>1080.9000000000001</v>
      </c>
      <c r="O76" s="2079">
        <v>885</v>
      </c>
      <c r="P76" s="2080"/>
      <c r="Q76" s="2122">
        <f>R76+T76</f>
        <v>1009</v>
      </c>
      <c r="R76" s="2079">
        <v>1009</v>
      </c>
      <c r="S76" s="2079">
        <v>814.3</v>
      </c>
      <c r="T76" s="2080"/>
      <c r="U76" s="2122">
        <f>V76+X76</f>
        <v>1009</v>
      </c>
      <c r="V76" s="2079">
        <v>1009</v>
      </c>
      <c r="W76" s="2079">
        <v>814.3</v>
      </c>
      <c r="X76" s="2080"/>
    </row>
    <row r="77" spans="1:59" ht="11.25" x14ac:dyDescent="0.2">
      <c r="A77" s="2558"/>
      <c r="B77" s="2545"/>
      <c r="C77" s="2530"/>
      <c r="D77" s="2528"/>
      <c r="E77" s="2532"/>
      <c r="F77" s="2510"/>
      <c r="G77" s="2510"/>
      <c r="H77" s="2093" t="s">
        <v>32</v>
      </c>
      <c r="I77" s="2123">
        <f>J77+L77</f>
        <v>3.2</v>
      </c>
      <c r="J77" s="355">
        <v>2.4</v>
      </c>
      <c r="K77" s="355"/>
      <c r="L77" s="356">
        <v>0.8</v>
      </c>
      <c r="M77" s="2123"/>
      <c r="N77" s="355"/>
      <c r="O77" s="355"/>
      <c r="P77" s="356"/>
      <c r="Q77" s="2123"/>
      <c r="R77" s="355"/>
      <c r="S77" s="355"/>
      <c r="T77" s="356"/>
      <c r="U77" s="2123"/>
      <c r="V77" s="355"/>
      <c r="W77" s="355"/>
      <c r="X77" s="356"/>
    </row>
    <row r="78" spans="1:59" s="358" customFormat="1" ht="21" customHeight="1" x14ac:dyDescent="0.2">
      <c r="A78" s="2558"/>
      <c r="B78" s="2545"/>
      <c r="C78" s="2530"/>
      <c r="D78" s="2528"/>
      <c r="E78" s="2532"/>
      <c r="F78" s="2510"/>
      <c r="G78" s="2510"/>
      <c r="H78" s="2093" t="s">
        <v>31</v>
      </c>
      <c r="I78" s="2123">
        <f t="shared" si="35"/>
        <v>4.4000000000000004</v>
      </c>
      <c r="J78" s="355">
        <v>4.4000000000000004</v>
      </c>
      <c r="K78" s="355">
        <v>4.3</v>
      </c>
      <c r="L78" s="356"/>
      <c r="M78" s="2123">
        <f t="shared" si="36"/>
        <v>0</v>
      </c>
      <c r="N78" s="355"/>
      <c r="O78" s="355"/>
      <c r="P78" s="356"/>
      <c r="Q78" s="2123">
        <v>0</v>
      </c>
      <c r="R78" s="355"/>
      <c r="S78" s="355"/>
      <c r="T78" s="356"/>
      <c r="U78" s="2123">
        <v>0</v>
      </c>
      <c r="V78" s="355"/>
      <c r="W78" s="355"/>
      <c r="X78" s="356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</row>
    <row r="79" spans="1:59" s="358" customFormat="1" ht="11.25" x14ac:dyDescent="0.2">
      <c r="A79" s="2558"/>
      <c r="B79" s="2545"/>
      <c r="C79" s="2530"/>
      <c r="D79" s="2528"/>
      <c r="E79" s="2532"/>
      <c r="F79" s="2510"/>
      <c r="G79" s="2510"/>
      <c r="H79" s="2093" t="s">
        <v>33</v>
      </c>
      <c r="I79" s="2123">
        <f>J79+L79</f>
        <v>15.4</v>
      </c>
      <c r="J79" s="355">
        <f>15.1+0.3</f>
        <v>15.4</v>
      </c>
      <c r="K79" s="355">
        <v>14.8</v>
      </c>
      <c r="L79" s="356"/>
      <c r="M79" s="2123">
        <f t="shared" si="36"/>
        <v>1.5</v>
      </c>
      <c r="N79" s="355">
        <v>1.5</v>
      </c>
      <c r="O79" s="355">
        <v>1.5</v>
      </c>
      <c r="P79" s="356"/>
      <c r="Q79" s="2123">
        <v>0</v>
      </c>
      <c r="R79" s="355"/>
      <c r="S79" s="355"/>
      <c r="T79" s="356"/>
      <c r="U79" s="2123">
        <v>0</v>
      </c>
      <c r="V79" s="355"/>
      <c r="W79" s="355"/>
      <c r="X79" s="356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</row>
    <row r="80" spans="1:59" ht="12" thickBot="1" x14ac:dyDescent="0.25">
      <c r="A80" s="2558"/>
      <c r="B80" s="2545"/>
      <c r="C80" s="2530"/>
      <c r="D80" s="2528"/>
      <c r="E80" s="2532"/>
      <c r="F80" s="2510"/>
      <c r="G80" s="2510"/>
      <c r="H80" s="2093" t="s">
        <v>34</v>
      </c>
      <c r="I80" s="2123">
        <f>J80+L80</f>
        <v>63.9</v>
      </c>
      <c r="J80" s="355">
        <v>63.9</v>
      </c>
      <c r="K80" s="355">
        <v>6.5</v>
      </c>
      <c r="L80" s="356"/>
      <c r="M80" s="2123">
        <f>N80+P80</f>
        <v>80.5</v>
      </c>
      <c r="N80" s="355">
        <v>80.5</v>
      </c>
      <c r="O80" s="355">
        <v>11.2</v>
      </c>
      <c r="P80" s="356"/>
      <c r="Q80" s="2123">
        <f>R80+T80</f>
        <v>80.5</v>
      </c>
      <c r="R80" s="355">
        <v>80.5</v>
      </c>
      <c r="S80" s="355">
        <v>11.2</v>
      </c>
      <c r="T80" s="356"/>
      <c r="U80" s="2123">
        <f>V80+X80</f>
        <v>80.5</v>
      </c>
      <c r="V80" s="355">
        <v>80.5</v>
      </c>
      <c r="W80" s="355">
        <v>11.2</v>
      </c>
      <c r="X80" s="356"/>
    </row>
    <row r="81" spans="1:59" s="358" customFormat="1" ht="12" thickBot="1" x14ac:dyDescent="0.25">
      <c r="A81" s="2559"/>
      <c r="B81" s="2545"/>
      <c r="C81" s="2530"/>
      <c r="D81" s="2529"/>
      <c r="E81" s="2532"/>
      <c r="F81" s="2516" t="s">
        <v>35</v>
      </c>
      <c r="G81" s="2517"/>
      <c r="H81" s="2517"/>
      <c r="I81" s="359">
        <f t="shared" ref="I81" si="37">J81+L81</f>
        <v>1900.5000000000005</v>
      </c>
      <c r="J81" s="360">
        <f>SUM(J74:J80)</f>
        <v>1861.3000000000004</v>
      </c>
      <c r="K81" s="360">
        <f>SUM(K74:K80)</f>
        <v>1603.2999999999997</v>
      </c>
      <c r="L81" s="361">
        <f>SUM(L74:L80)</f>
        <v>39.199999999999996</v>
      </c>
      <c r="M81" s="359">
        <f>N81+P81</f>
        <v>2201.9</v>
      </c>
      <c r="N81" s="360">
        <f>SUM(N74:N80)</f>
        <v>2201.9</v>
      </c>
      <c r="O81" s="360">
        <f>SUM(O74:O80)</f>
        <v>1893.7</v>
      </c>
      <c r="P81" s="361">
        <f>SUM(P74:P80)</f>
        <v>0</v>
      </c>
      <c r="Q81" s="359">
        <f>R81+T81</f>
        <v>2128.5</v>
      </c>
      <c r="R81" s="360">
        <f>R74+R75+R76+R78+R79+R80</f>
        <v>2128.5</v>
      </c>
      <c r="S81" s="360">
        <f>S74+S75+S76+S78+S79+S80</f>
        <v>1823.5</v>
      </c>
      <c r="T81" s="361">
        <v>0</v>
      </c>
      <c r="U81" s="359">
        <f>V81+X81</f>
        <v>2128.5</v>
      </c>
      <c r="V81" s="360">
        <f>V74+V75+V76+V78+V79+V80</f>
        <v>2128.5</v>
      </c>
      <c r="W81" s="360">
        <f>W74+W75+W76+W78+W79+W80</f>
        <v>1823.5</v>
      </c>
      <c r="X81" s="361">
        <v>0</v>
      </c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39"/>
      <c r="BE81" s="339"/>
      <c r="BF81" s="339"/>
      <c r="BG81" s="339"/>
    </row>
    <row r="82" spans="1:59" ht="11.25" x14ac:dyDescent="0.2">
      <c r="A82" s="2558">
        <v>1</v>
      </c>
      <c r="B82" s="2542">
        <v>1</v>
      </c>
      <c r="C82" s="2531">
        <v>10</v>
      </c>
      <c r="D82" s="2527" t="s">
        <v>61</v>
      </c>
      <c r="E82" s="2500" t="s">
        <v>62</v>
      </c>
      <c r="F82" s="2531" t="s">
        <v>26</v>
      </c>
      <c r="G82" s="2531" t="s">
        <v>63</v>
      </c>
      <c r="H82" s="2091" t="s">
        <v>28</v>
      </c>
      <c r="I82" s="348">
        <f>J82+L82</f>
        <v>574.6</v>
      </c>
      <c r="J82" s="349">
        <f>548.2+26.4</f>
        <v>574.6</v>
      </c>
      <c r="K82" s="349">
        <f>527.7+26</f>
        <v>553.70000000000005</v>
      </c>
      <c r="L82" s="350"/>
      <c r="M82" s="348">
        <f t="shared" ref="M82" si="38">N82+P82</f>
        <v>711.7</v>
      </c>
      <c r="N82" s="349">
        <v>711.7</v>
      </c>
      <c r="O82" s="349">
        <v>678.2</v>
      </c>
      <c r="P82" s="350"/>
      <c r="Q82" s="348">
        <f t="shared" ref="Q82" si="39">R82+T82</f>
        <v>711.7</v>
      </c>
      <c r="R82" s="349">
        <v>711.7</v>
      </c>
      <c r="S82" s="349">
        <v>681.2</v>
      </c>
      <c r="T82" s="350"/>
      <c r="U82" s="348">
        <f t="shared" ref="U82" si="40">V82+X82</f>
        <v>711.7</v>
      </c>
      <c r="V82" s="349">
        <v>711.7</v>
      </c>
      <c r="W82" s="349">
        <v>681.2</v>
      </c>
      <c r="X82" s="350"/>
    </row>
    <row r="83" spans="1:59" ht="33.75" x14ac:dyDescent="0.2">
      <c r="A83" s="2558"/>
      <c r="B83" s="2542"/>
      <c r="C83" s="2531"/>
      <c r="D83" s="2528"/>
      <c r="E83" s="2500"/>
      <c r="F83" s="2531"/>
      <c r="G83" s="2531"/>
      <c r="H83" s="2088" t="s">
        <v>29</v>
      </c>
      <c r="I83" s="348">
        <v>7.7</v>
      </c>
      <c r="J83" s="349">
        <v>7.7</v>
      </c>
      <c r="K83" s="349"/>
      <c r="L83" s="350"/>
      <c r="M83" s="348"/>
      <c r="N83" s="349"/>
      <c r="O83" s="349"/>
      <c r="P83" s="350"/>
      <c r="Q83" s="348"/>
      <c r="R83" s="349"/>
      <c r="S83" s="349"/>
      <c r="T83" s="350"/>
      <c r="U83" s="348"/>
      <c r="V83" s="349"/>
      <c r="W83" s="349"/>
      <c r="X83" s="350"/>
    </row>
    <row r="84" spans="1:59" ht="11.25" x14ac:dyDescent="0.2">
      <c r="A84" s="2558"/>
      <c r="B84" s="2545"/>
      <c r="C84" s="2530"/>
      <c r="D84" s="2528"/>
      <c r="E84" s="2532"/>
      <c r="F84" s="2530"/>
      <c r="G84" s="2530"/>
      <c r="H84" s="2093" t="s">
        <v>30</v>
      </c>
      <c r="I84" s="2122">
        <f t="shared" ref="I84" si="41">J84+L84</f>
        <v>316.2</v>
      </c>
      <c r="J84" s="2380">
        <v>300.7</v>
      </c>
      <c r="K84" s="2380">
        <v>252.2</v>
      </c>
      <c r="L84" s="2381">
        <v>15.5</v>
      </c>
      <c r="M84" s="2122">
        <f t="shared" ref="M84:M88" si="42">N84+P84</f>
        <v>330.4</v>
      </c>
      <c r="N84" s="2079">
        <v>330.4</v>
      </c>
      <c r="O84" s="2079">
        <v>282.39999999999998</v>
      </c>
      <c r="P84" s="2080"/>
      <c r="Q84" s="2122">
        <v>361.6</v>
      </c>
      <c r="R84" s="2079">
        <v>361.6</v>
      </c>
      <c r="S84" s="2079">
        <v>312.89999999999998</v>
      </c>
      <c r="T84" s="2080"/>
      <c r="U84" s="2122">
        <v>361.6</v>
      </c>
      <c r="V84" s="2079">
        <v>361.6</v>
      </c>
      <c r="W84" s="2079">
        <v>312.89999999999998</v>
      </c>
      <c r="X84" s="2080"/>
    </row>
    <row r="85" spans="1:59" s="358" customFormat="1" ht="21" customHeight="1" x14ac:dyDescent="0.2">
      <c r="A85" s="2558"/>
      <c r="B85" s="2545"/>
      <c r="C85" s="2530"/>
      <c r="D85" s="2528"/>
      <c r="E85" s="2532"/>
      <c r="F85" s="2510"/>
      <c r="G85" s="2510"/>
      <c r="H85" s="2093" t="s">
        <v>31</v>
      </c>
      <c r="I85" s="2123">
        <f>J85+L85</f>
        <v>4.0999999999999996</v>
      </c>
      <c r="J85" s="355">
        <v>4.0999999999999996</v>
      </c>
      <c r="K85" s="355">
        <v>4.0999999999999996</v>
      </c>
      <c r="L85" s="356"/>
      <c r="M85" s="2123">
        <f t="shared" si="42"/>
        <v>0</v>
      </c>
      <c r="N85" s="355"/>
      <c r="O85" s="355"/>
      <c r="P85" s="356"/>
      <c r="Q85" s="2123">
        <v>0</v>
      </c>
      <c r="R85" s="355"/>
      <c r="S85" s="355"/>
      <c r="T85" s="356"/>
      <c r="U85" s="2123">
        <v>0</v>
      </c>
      <c r="V85" s="355"/>
      <c r="W85" s="355"/>
      <c r="X85" s="356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  <c r="BC85" s="339"/>
      <c r="BD85" s="339"/>
      <c r="BE85" s="339"/>
      <c r="BF85" s="339"/>
      <c r="BG85" s="339"/>
    </row>
    <row r="86" spans="1:59" s="358" customFormat="1" ht="21" customHeight="1" x14ac:dyDescent="0.2">
      <c r="A86" s="2558"/>
      <c r="B86" s="2545"/>
      <c r="C86" s="2530"/>
      <c r="D86" s="2528"/>
      <c r="E86" s="2532"/>
      <c r="F86" s="2510"/>
      <c r="G86" s="2510"/>
      <c r="H86" s="2093" t="s">
        <v>32</v>
      </c>
      <c r="I86" s="2123">
        <f>J86+L86</f>
        <v>2.2000000000000002</v>
      </c>
      <c r="J86" s="355">
        <v>0.7</v>
      </c>
      <c r="K86" s="355"/>
      <c r="L86" s="356">
        <v>1.5</v>
      </c>
      <c r="M86" s="2123"/>
      <c r="N86" s="355"/>
      <c r="O86" s="355"/>
      <c r="P86" s="356"/>
      <c r="Q86" s="2123"/>
      <c r="R86" s="355"/>
      <c r="S86" s="355"/>
      <c r="T86" s="356"/>
      <c r="U86" s="2123"/>
      <c r="V86" s="355"/>
      <c r="W86" s="355"/>
      <c r="X86" s="356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  <c r="BC86" s="339"/>
      <c r="BD86" s="339"/>
      <c r="BE86" s="339"/>
      <c r="BF86" s="339"/>
      <c r="BG86" s="339"/>
    </row>
    <row r="87" spans="1:59" s="358" customFormat="1" ht="11.25" x14ac:dyDescent="0.2">
      <c r="A87" s="2558"/>
      <c r="B87" s="2545"/>
      <c r="C87" s="2530"/>
      <c r="D87" s="2528"/>
      <c r="E87" s="2532"/>
      <c r="F87" s="2510"/>
      <c r="G87" s="2510"/>
      <c r="H87" s="2093" t="s">
        <v>33</v>
      </c>
      <c r="I87" s="2123"/>
      <c r="J87" s="355"/>
      <c r="K87" s="355"/>
      <c r="L87" s="356"/>
      <c r="M87" s="2123">
        <f t="shared" si="42"/>
        <v>1.5</v>
      </c>
      <c r="N87" s="355">
        <v>1.5</v>
      </c>
      <c r="O87" s="355">
        <v>1.5</v>
      </c>
      <c r="P87" s="356"/>
      <c r="Q87" s="2123">
        <v>0</v>
      </c>
      <c r="R87" s="355"/>
      <c r="S87" s="355"/>
      <c r="T87" s="356"/>
      <c r="U87" s="2123">
        <v>0</v>
      </c>
      <c r="V87" s="355"/>
      <c r="W87" s="355"/>
      <c r="X87" s="356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  <c r="AZ87" s="339"/>
      <c r="BA87" s="339"/>
      <c r="BB87" s="339"/>
      <c r="BC87" s="339"/>
      <c r="BD87" s="339"/>
      <c r="BE87" s="339"/>
      <c r="BF87" s="339"/>
      <c r="BG87" s="339"/>
    </row>
    <row r="88" spans="1:59" s="358" customFormat="1" ht="12" thickBot="1" x14ac:dyDescent="0.25">
      <c r="A88" s="2558"/>
      <c r="B88" s="2545"/>
      <c r="C88" s="2530"/>
      <c r="D88" s="2528"/>
      <c r="E88" s="2532"/>
      <c r="F88" s="2510"/>
      <c r="G88" s="2510"/>
      <c r="H88" s="2093" t="s">
        <v>34</v>
      </c>
      <c r="I88" s="2123">
        <f>J88+L88</f>
        <v>20.100000000000001</v>
      </c>
      <c r="J88" s="355">
        <v>20.100000000000001</v>
      </c>
      <c r="K88" s="355"/>
      <c r="L88" s="356"/>
      <c r="M88" s="2123">
        <f t="shared" si="42"/>
        <v>30.7</v>
      </c>
      <c r="N88" s="355">
        <v>30.7</v>
      </c>
      <c r="O88" s="355"/>
      <c r="P88" s="356"/>
      <c r="Q88" s="2123">
        <v>30.7</v>
      </c>
      <c r="R88" s="355">
        <v>30.7</v>
      </c>
      <c r="S88" s="355"/>
      <c r="T88" s="356"/>
      <c r="U88" s="2123">
        <f>V88+X88</f>
        <v>30.7</v>
      </c>
      <c r="V88" s="355">
        <v>30.7</v>
      </c>
      <c r="W88" s="355"/>
      <c r="X88" s="356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  <c r="AZ88" s="339"/>
      <c r="BA88" s="339"/>
      <c r="BB88" s="339"/>
      <c r="BC88" s="339"/>
      <c r="BD88" s="339"/>
      <c r="BE88" s="339"/>
      <c r="BF88" s="339"/>
      <c r="BG88" s="339"/>
    </row>
    <row r="89" spans="1:59" ht="12" thickBot="1" x14ac:dyDescent="0.25">
      <c r="A89" s="2559"/>
      <c r="B89" s="2545"/>
      <c r="C89" s="2530"/>
      <c r="D89" s="2529"/>
      <c r="E89" s="2532"/>
      <c r="F89" s="2516" t="s">
        <v>35</v>
      </c>
      <c r="G89" s="2517"/>
      <c r="H89" s="2517"/>
      <c r="I89" s="359">
        <f t="shared" ref="I89" si="43">J89+L89</f>
        <v>924.90000000000009</v>
      </c>
      <c r="J89" s="360">
        <f>SUM(J82:J88)</f>
        <v>907.90000000000009</v>
      </c>
      <c r="K89" s="360">
        <f>SUM(K82:K88)</f>
        <v>810.00000000000011</v>
      </c>
      <c r="L89" s="361">
        <f>SUM(L82:L88)</f>
        <v>17</v>
      </c>
      <c r="M89" s="359">
        <f>N89+P89</f>
        <v>1074.3</v>
      </c>
      <c r="N89" s="360">
        <f>SUM(N82:N88)</f>
        <v>1074.3</v>
      </c>
      <c r="O89" s="360">
        <f>SUM(O82:O88)</f>
        <v>962.1</v>
      </c>
      <c r="P89" s="361">
        <f>SUM(P82:P88)</f>
        <v>0</v>
      </c>
      <c r="Q89" s="359">
        <f>R89+T89</f>
        <v>1104.0000000000002</v>
      </c>
      <c r="R89" s="360">
        <f>R82+R83+R84+R85+R87+R88</f>
        <v>1104.0000000000002</v>
      </c>
      <c r="S89" s="360">
        <f>S82+S83+S84+S85+S88</f>
        <v>994.1</v>
      </c>
      <c r="T89" s="361">
        <v>0</v>
      </c>
      <c r="U89" s="359">
        <f>V89+X89</f>
        <v>1104.0000000000002</v>
      </c>
      <c r="V89" s="360">
        <f>V82+V83+V84+V85+V87+V88</f>
        <v>1104.0000000000002</v>
      </c>
      <c r="W89" s="360">
        <f>W82+W83+W84+W85+W87+W88</f>
        <v>994.1</v>
      </c>
      <c r="X89" s="361">
        <v>0</v>
      </c>
    </row>
    <row r="90" spans="1:59" ht="11.25" x14ac:dyDescent="0.2">
      <c r="A90" s="2557">
        <v>1</v>
      </c>
      <c r="B90" s="2545">
        <v>1</v>
      </c>
      <c r="C90" s="2530">
        <v>11</v>
      </c>
      <c r="D90" s="2527" t="s">
        <v>64</v>
      </c>
      <c r="E90" s="2532" t="s">
        <v>65</v>
      </c>
      <c r="F90" s="2531" t="s">
        <v>26</v>
      </c>
      <c r="G90" s="2523" t="s">
        <v>66</v>
      </c>
      <c r="H90" s="2091" t="s">
        <v>28</v>
      </c>
      <c r="I90" s="348">
        <f>J90+L90</f>
        <v>646.79999999999995</v>
      </c>
      <c r="J90" s="349">
        <v>646.79999999999995</v>
      </c>
      <c r="K90" s="349">
        <v>616.9</v>
      </c>
      <c r="L90" s="350">
        <v>0</v>
      </c>
      <c r="M90" s="348">
        <f t="shared" ref="M90" si="44">N90+P90</f>
        <v>739.1</v>
      </c>
      <c r="N90" s="349">
        <v>739.1</v>
      </c>
      <c r="O90" s="349">
        <v>707.9</v>
      </c>
      <c r="P90" s="350">
        <v>0</v>
      </c>
      <c r="Q90" s="348">
        <f t="shared" ref="Q90" si="45">R90+T90</f>
        <v>739.1</v>
      </c>
      <c r="R90" s="349">
        <v>739.1</v>
      </c>
      <c r="S90" s="349">
        <v>710.9</v>
      </c>
      <c r="T90" s="350">
        <v>0</v>
      </c>
      <c r="U90" s="348">
        <f t="shared" ref="U90" si="46">V90+X90</f>
        <v>739.1</v>
      </c>
      <c r="V90" s="349">
        <v>739.1</v>
      </c>
      <c r="W90" s="349">
        <v>710.9</v>
      </c>
      <c r="X90" s="350">
        <v>0</v>
      </c>
    </row>
    <row r="91" spans="1:59" ht="22.5" customHeight="1" x14ac:dyDescent="0.2">
      <c r="A91" s="2558"/>
      <c r="B91" s="2545"/>
      <c r="C91" s="2530"/>
      <c r="D91" s="2528"/>
      <c r="E91" s="2532"/>
      <c r="F91" s="2531"/>
      <c r="G91" s="2523"/>
      <c r="H91" s="2091" t="s">
        <v>29</v>
      </c>
      <c r="I91" s="348">
        <f>J91+L91</f>
        <v>4.7</v>
      </c>
      <c r="J91" s="349">
        <f>4.3+0.4</f>
        <v>4.7</v>
      </c>
      <c r="K91" s="349"/>
      <c r="L91" s="350"/>
      <c r="M91" s="348"/>
      <c r="N91" s="349"/>
      <c r="O91" s="349"/>
      <c r="P91" s="350"/>
      <c r="Q91" s="348"/>
      <c r="R91" s="349"/>
      <c r="S91" s="349"/>
      <c r="T91" s="350"/>
      <c r="U91" s="348"/>
      <c r="V91" s="349"/>
      <c r="W91" s="349"/>
      <c r="X91" s="350"/>
    </row>
    <row r="92" spans="1:59" s="358" customFormat="1" ht="11.25" x14ac:dyDescent="0.2">
      <c r="A92" s="2558"/>
      <c r="B92" s="2545"/>
      <c r="C92" s="2530"/>
      <c r="D92" s="2528"/>
      <c r="E92" s="2532"/>
      <c r="F92" s="2530"/>
      <c r="G92" s="2603"/>
      <c r="H92" s="2092" t="s">
        <v>30</v>
      </c>
      <c r="I92" s="2122">
        <f t="shared" ref="I92:I95" si="47">J92+L92</f>
        <v>702.4</v>
      </c>
      <c r="J92" s="2380">
        <v>678.8</v>
      </c>
      <c r="K92" s="2380">
        <v>464.4</v>
      </c>
      <c r="L92" s="2381">
        <v>23.6</v>
      </c>
      <c r="M92" s="2122">
        <f t="shared" ref="M92:M93" si="48">N92+P92</f>
        <v>723.7</v>
      </c>
      <c r="N92" s="2079">
        <v>723.7</v>
      </c>
      <c r="O92" s="2079">
        <v>596.5</v>
      </c>
      <c r="P92" s="368"/>
      <c r="Q92" s="2122">
        <f>R92+T92</f>
        <v>758.8</v>
      </c>
      <c r="R92" s="2079">
        <v>758.8</v>
      </c>
      <c r="S92" s="2079">
        <v>637</v>
      </c>
      <c r="T92" s="2080"/>
      <c r="U92" s="348">
        <f t="shared" ref="U92:U95" si="49">V92+X92</f>
        <v>758.8</v>
      </c>
      <c r="V92" s="2079">
        <v>758.8</v>
      </c>
      <c r="W92" s="2079">
        <v>637</v>
      </c>
      <c r="X92" s="2080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  <c r="BC92" s="339"/>
      <c r="BD92" s="339"/>
      <c r="BE92" s="339"/>
      <c r="BF92" s="339"/>
      <c r="BG92" s="339"/>
    </row>
    <row r="93" spans="1:59" s="358" customFormat="1" ht="21" customHeight="1" x14ac:dyDescent="0.2">
      <c r="A93" s="2558"/>
      <c r="B93" s="2545"/>
      <c r="C93" s="2530"/>
      <c r="D93" s="2528"/>
      <c r="E93" s="2532"/>
      <c r="F93" s="2510"/>
      <c r="G93" s="2511"/>
      <c r="H93" s="2093" t="s">
        <v>31</v>
      </c>
      <c r="I93" s="2123">
        <f>J93+L93</f>
        <v>2.7</v>
      </c>
      <c r="J93" s="355">
        <v>2.7</v>
      </c>
      <c r="K93" s="355">
        <v>2.6</v>
      </c>
      <c r="L93" s="356"/>
      <c r="M93" s="2123">
        <f t="shared" si="48"/>
        <v>0</v>
      </c>
      <c r="N93" s="355"/>
      <c r="O93" s="355"/>
      <c r="P93" s="356"/>
      <c r="Q93" s="2123">
        <v>0</v>
      </c>
      <c r="R93" s="355"/>
      <c r="S93" s="355"/>
      <c r="T93" s="356"/>
      <c r="U93" s="348">
        <f t="shared" si="49"/>
        <v>0</v>
      </c>
      <c r="V93" s="355"/>
      <c r="W93" s="355"/>
      <c r="X93" s="356"/>
      <c r="Y93" s="339"/>
      <c r="Z93" s="339"/>
      <c r="AA93" s="339"/>
      <c r="AB93" s="339"/>
      <c r="AC93" s="339"/>
      <c r="AD93" s="339"/>
      <c r="AE93" s="339"/>
      <c r="AF93" s="339"/>
      <c r="AG93" s="339"/>
      <c r="AH93" s="339"/>
      <c r="AI93" s="339"/>
      <c r="AJ93" s="339"/>
      <c r="AK93" s="339"/>
      <c r="AL93" s="339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39"/>
      <c r="BE93" s="339"/>
      <c r="BF93" s="339"/>
      <c r="BG93" s="339"/>
    </row>
    <row r="94" spans="1:59" s="358" customFormat="1" ht="11.25" x14ac:dyDescent="0.2">
      <c r="A94" s="2558"/>
      <c r="B94" s="2545"/>
      <c r="C94" s="2530"/>
      <c r="D94" s="2528"/>
      <c r="E94" s="2532"/>
      <c r="F94" s="2510"/>
      <c r="G94" s="2511"/>
      <c r="H94" s="2093" t="s">
        <v>33</v>
      </c>
      <c r="I94" s="2123">
        <f>J94+L94</f>
        <v>8.6</v>
      </c>
      <c r="J94" s="355">
        <v>8.6</v>
      </c>
      <c r="K94" s="355">
        <v>3.7</v>
      </c>
      <c r="L94" s="356"/>
      <c r="M94" s="2123">
        <f>N94+P94</f>
        <v>1.5</v>
      </c>
      <c r="N94" s="355">
        <v>1.5</v>
      </c>
      <c r="O94" s="355">
        <v>1.5</v>
      </c>
      <c r="P94" s="356"/>
      <c r="Q94" s="2123">
        <v>0</v>
      </c>
      <c r="R94" s="355"/>
      <c r="S94" s="355"/>
      <c r="T94" s="356"/>
      <c r="U94" s="348">
        <f t="shared" si="49"/>
        <v>0</v>
      </c>
      <c r="V94" s="355"/>
      <c r="W94" s="355"/>
      <c r="X94" s="356"/>
      <c r="Y94" s="339"/>
      <c r="Z94" s="339"/>
      <c r="AA94" s="339"/>
      <c r="AB94" s="339"/>
      <c r="AC94" s="339"/>
      <c r="AD94" s="339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</row>
    <row r="95" spans="1:59" ht="12" thickBot="1" x14ac:dyDescent="0.25">
      <c r="A95" s="2558"/>
      <c r="B95" s="2545"/>
      <c r="C95" s="2530"/>
      <c r="D95" s="2528"/>
      <c r="E95" s="2532"/>
      <c r="F95" s="2510"/>
      <c r="G95" s="2511"/>
      <c r="H95" s="2093" t="s">
        <v>34</v>
      </c>
      <c r="I95" s="2123">
        <f t="shared" si="47"/>
        <v>45.9</v>
      </c>
      <c r="J95" s="355">
        <v>45.9</v>
      </c>
      <c r="K95" s="355">
        <v>6.3</v>
      </c>
      <c r="L95" s="356"/>
      <c r="M95" s="2123">
        <f>N95+P95</f>
        <v>65.5</v>
      </c>
      <c r="N95" s="355">
        <v>65.5</v>
      </c>
      <c r="O95" s="355">
        <v>9.1</v>
      </c>
      <c r="P95" s="356"/>
      <c r="Q95" s="2123">
        <f>R95+T95</f>
        <v>65.5</v>
      </c>
      <c r="R95" s="355">
        <v>65.5</v>
      </c>
      <c r="S95" s="355">
        <v>9.1</v>
      </c>
      <c r="T95" s="356"/>
      <c r="U95" s="348">
        <f t="shared" si="49"/>
        <v>65.5</v>
      </c>
      <c r="V95" s="355">
        <v>65.5</v>
      </c>
      <c r="W95" s="355">
        <v>9.1</v>
      </c>
      <c r="X95" s="356"/>
    </row>
    <row r="96" spans="1:59" ht="12" thickBot="1" x14ac:dyDescent="0.25">
      <c r="A96" s="2559"/>
      <c r="B96" s="2545"/>
      <c r="C96" s="2530"/>
      <c r="D96" s="2529"/>
      <c r="E96" s="2532"/>
      <c r="F96" s="2516" t="s">
        <v>35</v>
      </c>
      <c r="G96" s="2517"/>
      <c r="H96" s="2517"/>
      <c r="I96" s="359">
        <f>J96+L96</f>
        <v>1411.1</v>
      </c>
      <c r="J96" s="360">
        <f>SUM(J90:J95)</f>
        <v>1387.5</v>
      </c>
      <c r="K96" s="360">
        <f>SUM(K90:K95)</f>
        <v>1093.8999999999999</v>
      </c>
      <c r="L96" s="361">
        <f>SUM(L90:L95)</f>
        <v>23.6</v>
      </c>
      <c r="M96" s="359">
        <f>N96+P96</f>
        <v>1529.8000000000002</v>
      </c>
      <c r="N96" s="360">
        <f>SUM(N90:N95)</f>
        <v>1529.8000000000002</v>
      </c>
      <c r="O96" s="360">
        <f>SUM(O90:O95)</f>
        <v>1315</v>
      </c>
      <c r="P96" s="361">
        <f>SUM(P90:P95)</f>
        <v>0</v>
      </c>
      <c r="Q96" s="359">
        <f>R96+T96</f>
        <v>1563.4</v>
      </c>
      <c r="R96" s="360">
        <f>R90+R91+R92+R93+R94+R95</f>
        <v>1563.4</v>
      </c>
      <c r="S96" s="360">
        <f>S90+S91+S92+S93+S94+S95</f>
        <v>1357</v>
      </c>
      <c r="T96" s="361"/>
      <c r="U96" s="359">
        <f>V96+X96</f>
        <v>1563.4</v>
      </c>
      <c r="V96" s="360">
        <f>V90+V91+V92+V93+V94+V95</f>
        <v>1563.4</v>
      </c>
      <c r="W96" s="360">
        <f>W90+W91+W92+W93+W94+W95</f>
        <v>1357</v>
      </c>
      <c r="X96" s="361"/>
    </row>
    <row r="97" spans="1:59" ht="11.25" x14ac:dyDescent="0.2">
      <c r="A97" s="2557">
        <v>1</v>
      </c>
      <c r="B97" s="2545">
        <v>1</v>
      </c>
      <c r="C97" s="2530">
        <v>12</v>
      </c>
      <c r="D97" s="2527" t="s">
        <v>67</v>
      </c>
      <c r="E97" s="2532" t="s">
        <v>68</v>
      </c>
      <c r="F97" s="2531" t="s">
        <v>26</v>
      </c>
      <c r="G97" s="2531" t="s">
        <v>69</v>
      </c>
      <c r="H97" s="364" t="s">
        <v>28</v>
      </c>
      <c r="I97" s="348">
        <f>J97+L97</f>
        <v>369.5</v>
      </c>
      <c r="J97" s="349">
        <v>369.5</v>
      </c>
      <c r="K97" s="349">
        <v>357</v>
      </c>
      <c r="L97" s="350">
        <v>0</v>
      </c>
      <c r="M97" s="348">
        <f t="shared" ref="M97" si="50">N97+P97</f>
        <v>378.5</v>
      </c>
      <c r="N97" s="349">
        <v>378.5</v>
      </c>
      <c r="O97" s="349">
        <v>366.3</v>
      </c>
      <c r="P97" s="350">
        <v>0</v>
      </c>
      <c r="Q97" s="348">
        <f t="shared" ref="Q97" si="51">R97+T97</f>
        <v>378.5</v>
      </c>
      <c r="R97" s="349">
        <v>378.5</v>
      </c>
      <c r="S97" s="349">
        <v>367.7</v>
      </c>
      <c r="T97" s="350">
        <v>0</v>
      </c>
      <c r="U97" s="348">
        <f t="shared" ref="U97" si="52">V97+X97</f>
        <v>378.5</v>
      </c>
      <c r="V97" s="349">
        <v>378.5</v>
      </c>
      <c r="W97" s="349">
        <v>367.7</v>
      </c>
      <c r="X97" s="350">
        <v>0</v>
      </c>
    </row>
    <row r="98" spans="1:59" ht="24" customHeight="1" x14ac:dyDescent="0.2">
      <c r="A98" s="2558"/>
      <c r="B98" s="2545"/>
      <c r="C98" s="2530"/>
      <c r="D98" s="2528"/>
      <c r="E98" s="2532"/>
      <c r="F98" s="2531"/>
      <c r="G98" s="2531"/>
      <c r="H98" s="2088" t="s">
        <v>29</v>
      </c>
      <c r="I98" s="348">
        <v>2.2999999999999998</v>
      </c>
      <c r="J98" s="349">
        <v>2.2999999999999998</v>
      </c>
      <c r="K98" s="349"/>
      <c r="L98" s="350"/>
      <c r="M98" s="348"/>
      <c r="N98" s="349"/>
      <c r="O98" s="349"/>
      <c r="P98" s="350"/>
      <c r="Q98" s="348"/>
      <c r="R98" s="349"/>
      <c r="S98" s="349"/>
      <c r="T98" s="350"/>
      <c r="U98" s="348"/>
      <c r="V98" s="349"/>
      <c r="W98" s="349"/>
      <c r="X98" s="350"/>
    </row>
    <row r="99" spans="1:59" ht="11.25" x14ac:dyDescent="0.2">
      <c r="A99" s="2558"/>
      <c r="B99" s="2545"/>
      <c r="C99" s="2530"/>
      <c r="D99" s="2528"/>
      <c r="E99" s="2532"/>
      <c r="F99" s="2530"/>
      <c r="G99" s="2530"/>
      <c r="H99" s="2093" t="s">
        <v>30</v>
      </c>
      <c r="I99" s="2122">
        <f t="shared" ref="I99:I102" si="53">J99+L99</f>
        <v>344.1</v>
      </c>
      <c r="J99" s="2380">
        <v>327.3</v>
      </c>
      <c r="K99" s="2380">
        <v>256.5</v>
      </c>
      <c r="L99" s="2381">
        <v>16.8</v>
      </c>
      <c r="M99" s="2122">
        <f t="shared" ref="M99:M103" si="54">N99+P99</f>
        <v>281</v>
      </c>
      <c r="N99" s="2079">
        <v>281</v>
      </c>
      <c r="O99" s="2079">
        <v>217.5</v>
      </c>
      <c r="P99" s="2080"/>
      <c r="Q99" s="2122">
        <v>292.7</v>
      </c>
      <c r="R99" s="2079">
        <v>292.7</v>
      </c>
      <c r="S99" s="2079">
        <v>229.1</v>
      </c>
      <c r="T99" s="2080"/>
      <c r="U99" s="2122">
        <v>292.7</v>
      </c>
      <c r="V99" s="2079">
        <v>292.7</v>
      </c>
      <c r="W99" s="2079">
        <v>229.1</v>
      </c>
      <c r="X99" s="2080"/>
    </row>
    <row r="100" spans="1:59" ht="11.25" x14ac:dyDescent="0.2">
      <c r="A100" s="2558"/>
      <c r="B100" s="2545"/>
      <c r="C100" s="2530"/>
      <c r="D100" s="2528"/>
      <c r="E100" s="2532"/>
      <c r="F100" s="2510"/>
      <c r="G100" s="2510"/>
      <c r="H100" s="2093" t="s">
        <v>32</v>
      </c>
      <c r="I100" s="2123">
        <f>J100+L100</f>
        <v>0.8</v>
      </c>
      <c r="J100" s="355"/>
      <c r="K100" s="355"/>
      <c r="L100" s="356">
        <v>0.8</v>
      </c>
      <c r="M100" s="2123"/>
      <c r="N100" s="355"/>
      <c r="O100" s="355"/>
      <c r="P100" s="356"/>
      <c r="Q100" s="2123"/>
      <c r="R100" s="355"/>
      <c r="S100" s="355"/>
      <c r="T100" s="356"/>
      <c r="U100" s="2123"/>
      <c r="V100" s="355"/>
      <c r="W100" s="355"/>
      <c r="X100" s="356"/>
    </row>
    <row r="101" spans="1:59" ht="11.25" x14ac:dyDescent="0.2">
      <c r="A101" s="2558"/>
      <c r="B101" s="2545"/>
      <c r="C101" s="2530"/>
      <c r="D101" s="2528"/>
      <c r="E101" s="2532"/>
      <c r="F101" s="2510"/>
      <c r="G101" s="2510"/>
      <c r="H101" s="2093" t="s">
        <v>33</v>
      </c>
      <c r="I101" s="2123">
        <f>J101+L101</f>
        <v>0.7</v>
      </c>
      <c r="J101" s="355">
        <v>0.7</v>
      </c>
      <c r="K101" s="355"/>
      <c r="L101" s="356"/>
      <c r="M101" s="2123">
        <f t="shared" si="54"/>
        <v>1.5</v>
      </c>
      <c r="N101" s="355">
        <v>1.5</v>
      </c>
      <c r="O101" s="355">
        <v>1.5</v>
      </c>
      <c r="P101" s="356"/>
      <c r="Q101" s="2123"/>
      <c r="R101" s="355"/>
      <c r="S101" s="355"/>
      <c r="T101" s="356"/>
      <c r="U101" s="2123"/>
      <c r="V101" s="355"/>
      <c r="W101" s="355"/>
      <c r="X101" s="356"/>
    </row>
    <row r="102" spans="1:59" s="358" customFormat="1" ht="21" customHeight="1" x14ac:dyDescent="0.2">
      <c r="A102" s="2558"/>
      <c r="B102" s="2545"/>
      <c r="C102" s="2530"/>
      <c r="D102" s="2528"/>
      <c r="E102" s="2532"/>
      <c r="F102" s="2510"/>
      <c r="G102" s="2510"/>
      <c r="H102" s="2093" t="s">
        <v>70</v>
      </c>
      <c r="I102" s="2123">
        <f t="shared" si="53"/>
        <v>1</v>
      </c>
      <c r="J102" s="355">
        <v>1</v>
      </c>
      <c r="K102" s="355">
        <v>1</v>
      </c>
      <c r="L102" s="356"/>
      <c r="M102" s="2123">
        <f t="shared" si="54"/>
        <v>0</v>
      </c>
      <c r="N102" s="355"/>
      <c r="O102" s="355"/>
      <c r="P102" s="356"/>
      <c r="Q102" s="2123">
        <v>0</v>
      </c>
      <c r="R102" s="355"/>
      <c r="S102" s="355"/>
      <c r="T102" s="356"/>
      <c r="U102" s="2123">
        <v>0</v>
      </c>
      <c r="V102" s="355"/>
      <c r="W102" s="355"/>
      <c r="X102" s="356"/>
      <c r="Y102" s="339"/>
      <c r="Z102" s="33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39"/>
      <c r="AT102" s="339"/>
      <c r="AU102" s="339"/>
      <c r="AV102" s="339"/>
      <c r="AW102" s="339"/>
      <c r="AX102" s="339"/>
      <c r="AY102" s="339"/>
      <c r="AZ102" s="339"/>
      <c r="BA102" s="339"/>
      <c r="BB102" s="339"/>
      <c r="BC102" s="339"/>
      <c r="BD102" s="339"/>
      <c r="BE102" s="339"/>
      <c r="BF102" s="339"/>
      <c r="BG102" s="339"/>
    </row>
    <row r="103" spans="1:59" ht="12" thickBot="1" x14ac:dyDescent="0.25">
      <c r="A103" s="2558"/>
      <c r="B103" s="2545"/>
      <c r="C103" s="2530"/>
      <c r="D103" s="2528"/>
      <c r="E103" s="2532"/>
      <c r="F103" s="2510"/>
      <c r="G103" s="2510"/>
      <c r="H103" s="2093" t="s">
        <v>34</v>
      </c>
      <c r="I103" s="2123">
        <f>J103+L103</f>
        <v>8.3000000000000007</v>
      </c>
      <c r="J103" s="355">
        <v>8.3000000000000007</v>
      </c>
      <c r="K103" s="355">
        <v>1.3</v>
      </c>
      <c r="L103" s="356">
        <v>0</v>
      </c>
      <c r="M103" s="2123">
        <f t="shared" si="54"/>
        <v>15.3</v>
      </c>
      <c r="N103" s="355">
        <v>15.3</v>
      </c>
      <c r="O103" s="355">
        <v>2.2000000000000002</v>
      </c>
      <c r="P103" s="356">
        <v>0</v>
      </c>
      <c r="Q103" s="2123">
        <v>14.6</v>
      </c>
      <c r="R103" s="355">
        <v>15.3</v>
      </c>
      <c r="S103" s="355">
        <v>2.2000000000000002</v>
      </c>
      <c r="T103" s="356">
        <v>0</v>
      </c>
      <c r="U103" s="2123">
        <f>V103+X103</f>
        <v>15.3</v>
      </c>
      <c r="V103" s="355">
        <v>15.3</v>
      </c>
      <c r="W103" s="355">
        <v>2.2000000000000002</v>
      </c>
      <c r="X103" s="356">
        <v>0</v>
      </c>
    </row>
    <row r="104" spans="1:59" ht="16.5" customHeight="1" thickBot="1" x14ac:dyDescent="0.25">
      <c r="A104" s="2559"/>
      <c r="B104" s="2545"/>
      <c r="C104" s="2530"/>
      <c r="D104" s="2529"/>
      <c r="E104" s="2532"/>
      <c r="F104" s="2516" t="s">
        <v>35</v>
      </c>
      <c r="G104" s="2517"/>
      <c r="H104" s="2517"/>
      <c r="I104" s="359">
        <f t="shared" ref="I104" si="55">J104+L104</f>
        <v>726.7</v>
      </c>
      <c r="J104" s="360">
        <f>SUM(J97:J103)</f>
        <v>709.1</v>
      </c>
      <c r="K104" s="360">
        <f>SUM(K97:K103)</f>
        <v>615.79999999999995</v>
      </c>
      <c r="L104" s="361">
        <f>SUM(L97:L103)</f>
        <v>17.600000000000001</v>
      </c>
      <c r="M104" s="359">
        <f>N104+P104</f>
        <v>676.3</v>
      </c>
      <c r="N104" s="360">
        <f>SUM(N97:N103)</f>
        <v>676.3</v>
      </c>
      <c r="O104" s="360">
        <f>SUM(O97:O103)</f>
        <v>587.5</v>
      </c>
      <c r="P104" s="361">
        <f>SUM(P97:P103)</f>
        <v>0</v>
      </c>
      <c r="Q104" s="359">
        <f>R104+T104</f>
        <v>686.5</v>
      </c>
      <c r="R104" s="360">
        <f>R97+R98+R99+R101+R102+R103</f>
        <v>686.5</v>
      </c>
      <c r="S104" s="360">
        <f>S97+S98+S99+S101+S102+S103</f>
        <v>599</v>
      </c>
      <c r="T104" s="361">
        <v>0</v>
      </c>
      <c r="U104" s="359">
        <f>V104+X104</f>
        <v>686.5</v>
      </c>
      <c r="V104" s="360">
        <f>V97+V98+V99+V101+V102+V103</f>
        <v>686.5</v>
      </c>
      <c r="W104" s="360">
        <f>W97+W98+W99+W101+W102+W103</f>
        <v>599</v>
      </c>
      <c r="X104" s="361">
        <v>0</v>
      </c>
    </row>
    <row r="105" spans="1:59" ht="11.25" x14ac:dyDescent="0.2">
      <c r="A105" s="2557">
        <v>1</v>
      </c>
      <c r="B105" s="2545">
        <v>1</v>
      </c>
      <c r="C105" s="2530">
        <v>13</v>
      </c>
      <c r="D105" s="2527" t="s">
        <v>71</v>
      </c>
      <c r="E105" s="2532" t="s">
        <v>72</v>
      </c>
      <c r="F105" s="2531" t="s">
        <v>26</v>
      </c>
      <c r="G105" s="2531" t="s">
        <v>73</v>
      </c>
      <c r="H105" s="2091" t="s">
        <v>28</v>
      </c>
      <c r="I105" s="348">
        <f>J105+L105</f>
        <v>521.70000000000005</v>
      </c>
      <c r="J105" s="349">
        <v>521.70000000000005</v>
      </c>
      <c r="K105" s="349">
        <v>505.5</v>
      </c>
      <c r="L105" s="350"/>
      <c r="M105" s="348">
        <f t="shared" ref="M105" si="56">N105+P105</f>
        <v>649.70000000000005</v>
      </c>
      <c r="N105" s="349">
        <v>649.70000000000005</v>
      </c>
      <c r="O105" s="349">
        <v>624.4</v>
      </c>
      <c r="P105" s="350"/>
      <c r="Q105" s="348">
        <f t="shared" ref="Q105" si="57">R105+T105</f>
        <v>649.70000000000005</v>
      </c>
      <c r="R105" s="349">
        <v>649.70000000000005</v>
      </c>
      <c r="S105" s="349">
        <v>625.20000000000005</v>
      </c>
      <c r="T105" s="350"/>
      <c r="U105" s="348">
        <f t="shared" ref="U105" si="58">V105+X105</f>
        <v>649.70000000000005</v>
      </c>
      <c r="V105" s="349">
        <v>649.70000000000005</v>
      </c>
      <c r="W105" s="349">
        <v>625.20000000000005</v>
      </c>
      <c r="X105" s="350"/>
    </row>
    <row r="106" spans="1:59" ht="33.75" x14ac:dyDescent="0.2">
      <c r="A106" s="2558"/>
      <c r="B106" s="2545"/>
      <c r="C106" s="2530"/>
      <c r="D106" s="2528"/>
      <c r="E106" s="2532"/>
      <c r="F106" s="2531"/>
      <c r="G106" s="2531"/>
      <c r="H106" s="2088" t="s">
        <v>29</v>
      </c>
      <c r="I106" s="348">
        <f>J106+L106</f>
        <v>4.7</v>
      </c>
      <c r="J106" s="349">
        <f>4.3+0.4</f>
        <v>4.7</v>
      </c>
      <c r="K106" s="349"/>
      <c r="L106" s="350"/>
      <c r="M106" s="348"/>
      <c r="N106" s="349"/>
      <c r="O106" s="349"/>
      <c r="P106" s="350"/>
      <c r="Q106" s="348"/>
      <c r="R106" s="349"/>
      <c r="S106" s="349"/>
      <c r="T106" s="350"/>
      <c r="U106" s="348"/>
      <c r="V106" s="349"/>
      <c r="W106" s="349"/>
      <c r="X106" s="350"/>
    </row>
    <row r="107" spans="1:59" ht="11.25" x14ac:dyDescent="0.2">
      <c r="A107" s="2558"/>
      <c r="B107" s="2545"/>
      <c r="C107" s="2530"/>
      <c r="D107" s="2528"/>
      <c r="E107" s="2532"/>
      <c r="F107" s="2530"/>
      <c r="G107" s="2530"/>
      <c r="H107" s="2093" t="s">
        <v>30</v>
      </c>
      <c r="I107" s="2122">
        <f t="shared" ref="I107:I109" si="59">J107+L107</f>
        <v>444.29999999999995</v>
      </c>
      <c r="J107" s="2380">
        <v>438.4</v>
      </c>
      <c r="K107" s="2380">
        <v>307.8</v>
      </c>
      <c r="L107" s="2381">
        <v>5.9</v>
      </c>
      <c r="M107" s="2122">
        <f t="shared" ref="M107:M109" si="60">N107+P107</f>
        <v>461</v>
      </c>
      <c r="N107" s="2079">
        <v>461</v>
      </c>
      <c r="O107" s="2079">
        <v>337.6</v>
      </c>
      <c r="P107" s="2080"/>
      <c r="Q107" s="2122">
        <v>458.3</v>
      </c>
      <c r="R107" s="2079">
        <v>458.3</v>
      </c>
      <c r="S107" s="2079">
        <v>334.9</v>
      </c>
      <c r="T107" s="2080"/>
      <c r="U107" s="348">
        <f t="shared" ref="U107:U110" si="61">V107+X107</f>
        <v>458.3</v>
      </c>
      <c r="V107" s="2079">
        <v>458.3</v>
      </c>
      <c r="W107" s="2079">
        <v>334.9</v>
      </c>
      <c r="X107" s="2080"/>
    </row>
    <row r="108" spans="1:59" s="358" customFormat="1" ht="21" customHeight="1" x14ac:dyDescent="0.2">
      <c r="A108" s="2558"/>
      <c r="B108" s="2545"/>
      <c r="C108" s="2530"/>
      <c r="D108" s="2528"/>
      <c r="E108" s="2532"/>
      <c r="F108" s="2510"/>
      <c r="G108" s="2510"/>
      <c r="H108" s="2093" t="s">
        <v>31</v>
      </c>
      <c r="I108" s="2123">
        <f t="shared" si="59"/>
        <v>2.7</v>
      </c>
      <c r="J108" s="355">
        <v>2.7</v>
      </c>
      <c r="K108" s="355">
        <v>2.7</v>
      </c>
      <c r="L108" s="356"/>
      <c r="M108" s="2123">
        <f t="shared" si="60"/>
        <v>0</v>
      </c>
      <c r="N108" s="355"/>
      <c r="O108" s="355"/>
      <c r="P108" s="356"/>
      <c r="Q108" s="2123">
        <v>0</v>
      </c>
      <c r="R108" s="355"/>
      <c r="S108" s="355"/>
      <c r="T108" s="356"/>
      <c r="U108" s="348">
        <f t="shared" si="61"/>
        <v>0</v>
      </c>
      <c r="V108" s="355"/>
      <c r="W108" s="355"/>
      <c r="X108" s="356"/>
      <c r="Y108" s="339"/>
      <c r="Z108" s="339"/>
      <c r="AA108" s="339"/>
      <c r="AB108" s="339"/>
      <c r="AC108" s="339"/>
      <c r="AD108" s="339"/>
      <c r="AE108" s="339"/>
      <c r="AF108" s="339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39"/>
      <c r="AT108" s="339"/>
      <c r="AU108" s="339"/>
      <c r="AV108" s="339"/>
      <c r="AW108" s="339"/>
      <c r="AX108" s="339"/>
      <c r="AY108" s="339"/>
      <c r="AZ108" s="339"/>
      <c r="BA108" s="339"/>
      <c r="BB108" s="339"/>
      <c r="BC108" s="339"/>
      <c r="BD108" s="339"/>
      <c r="BE108" s="339"/>
      <c r="BF108" s="339"/>
      <c r="BG108" s="339"/>
    </row>
    <row r="109" spans="1:59" s="358" customFormat="1" ht="11.25" x14ac:dyDescent="0.2">
      <c r="A109" s="2558"/>
      <c r="B109" s="2545"/>
      <c r="C109" s="2530"/>
      <c r="D109" s="2528"/>
      <c r="E109" s="2532"/>
      <c r="F109" s="2510"/>
      <c r="G109" s="2510"/>
      <c r="H109" s="2093" t="s">
        <v>33</v>
      </c>
      <c r="I109" s="2123">
        <f t="shared" si="59"/>
        <v>0</v>
      </c>
      <c r="J109" s="355"/>
      <c r="K109" s="355"/>
      <c r="L109" s="356"/>
      <c r="M109" s="2123">
        <f t="shared" si="60"/>
        <v>1.5</v>
      </c>
      <c r="N109" s="355">
        <v>1.5</v>
      </c>
      <c r="O109" s="355">
        <v>1.5</v>
      </c>
      <c r="P109" s="356"/>
      <c r="Q109" s="2123">
        <v>0</v>
      </c>
      <c r="R109" s="355"/>
      <c r="S109" s="355"/>
      <c r="T109" s="356"/>
      <c r="U109" s="348">
        <f t="shared" si="61"/>
        <v>0</v>
      </c>
      <c r="V109" s="355"/>
      <c r="W109" s="355"/>
      <c r="X109" s="356"/>
      <c r="Y109" s="339"/>
      <c r="Z109" s="339"/>
      <c r="AA109" s="339"/>
      <c r="AB109" s="339"/>
      <c r="AC109" s="339"/>
      <c r="AD109" s="339"/>
      <c r="AE109" s="339"/>
      <c r="AF109" s="339"/>
      <c r="AG109" s="339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39"/>
      <c r="AT109" s="339"/>
      <c r="AU109" s="339"/>
      <c r="AV109" s="339"/>
      <c r="AW109" s="339"/>
      <c r="AX109" s="339"/>
      <c r="AY109" s="339"/>
      <c r="AZ109" s="339"/>
      <c r="BA109" s="339"/>
      <c r="BB109" s="339"/>
      <c r="BC109" s="339"/>
      <c r="BD109" s="339"/>
      <c r="BE109" s="339"/>
      <c r="BF109" s="339"/>
      <c r="BG109" s="339"/>
    </row>
    <row r="110" spans="1:59" ht="12" thickBot="1" x14ac:dyDescent="0.25">
      <c r="A110" s="2558"/>
      <c r="B110" s="2545"/>
      <c r="C110" s="2530"/>
      <c r="D110" s="2528"/>
      <c r="E110" s="2532"/>
      <c r="F110" s="2510"/>
      <c r="G110" s="2510"/>
      <c r="H110" s="2093" t="s">
        <v>34</v>
      </c>
      <c r="I110" s="2123">
        <f>J110+L110</f>
        <v>27</v>
      </c>
      <c r="J110" s="355">
        <v>27</v>
      </c>
      <c r="K110" s="355">
        <v>2.2000000000000002</v>
      </c>
      <c r="L110" s="356"/>
      <c r="M110" s="2123">
        <f>N110+P110</f>
        <v>35.9</v>
      </c>
      <c r="N110" s="355">
        <v>35.9</v>
      </c>
      <c r="O110" s="355">
        <v>3.5</v>
      </c>
      <c r="P110" s="356"/>
      <c r="Q110" s="2123">
        <f>R110+T110</f>
        <v>35.9</v>
      </c>
      <c r="R110" s="355">
        <v>35.9</v>
      </c>
      <c r="S110" s="355">
        <v>3.5</v>
      </c>
      <c r="T110" s="356"/>
      <c r="U110" s="348">
        <f t="shared" si="61"/>
        <v>35.9</v>
      </c>
      <c r="V110" s="355">
        <v>35.9</v>
      </c>
      <c r="W110" s="355">
        <v>3.5</v>
      </c>
      <c r="X110" s="356"/>
    </row>
    <row r="111" spans="1:59" ht="12" thickBot="1" x14ac:dyDescent="0.25">
      <c r="A111" s="2559"/>
      <c r="B111" s="2545"/>
      <c r="C111" s="2530"/>
      <c r="D111" s="2529"/>
      <c r="E111" s="2532"/>
      <c r="F111" s="2516" t="s">
        <v>35</v>
      </c>
      <c r="G111" s="2517"/>
      <c r="H111" s="2517"/>
      <c r="I111" s="359">
        <f t="shared" ref="I111" si="62">J111+L111</f>
        <v>1000.4000000000001</v>
      </c>
      <c r="J111" s="360">
        <f>SUM(J105:J110)</f>
        <v>994.50000000000011</v>
      </c>
      <c r="K111" s="360">
        <f>SUM(K105:K110)</f>
        <v>818.2</v>
      </c>
      <c r="L111" s="361">
        <f>SUM(L105:L110)</f>
        <v>5.9</v>
      </c>
      <c r="M111" s="359">
        <f>N111+P111</f>
        <v>1148.1000000000001</v>
      </c>
      <c r="N111" s="360">
        <f>SUM(N105:N110)</f>
        <v>1148.1000000000001</v>
      </c>
      <c r="O111" s="360">
        <f>SUM(O105:O110)</f>
        <v>967</v>
      </c>
      <c r="P111" s="361">
        <f>SUM(P105:P110)</f>
        <v>0</v>
      </c>
      <c r="Q111" s="359">
        <f>R111+T111</f>
        <v>1143.9000000000001</v>
      </c>
      <c r="R111" s="360">
        <f>R105+R106+R107+R108+R109+R110</f>
        <v>1143.9000000000001</v>
      </c>
      <c r="S111" s="360">
        <f>S105+S106+S107+S108+S109+S110</f>
        <v>963.6</v>
      </c>
      <c r="T111" s="361">
        <v>0</v>
      </c>
      <c r="U111" s="359">
        <f>V111+X111</f>
        <v>1143.9000000000001</v>
      </c>
      <c r="V111" s="360">
        <f>V105+V106+V107+V108+V109+V110</f>
        <v>1143.9000000000001</v>
      </c>
      <c r="W111" s="360">
        <f>W105+W106+W107+W108+W109+W110</f>
        <v>963.6</v>
      </c>
      <c r="X111" s="361">
        <v>0</v>
      </c>
    </row>
    <row r="112" spans="1:59" ht="11.25" x14ac:dyDescent="0.2">
      <c r="A112" s="2557">
        <v>1</v>
      </c>
      <c r="B112" s="2545">
        <v>1</v>
      </c>
      <c r="C112" s="2530">
        <v>14</v>
      </c>
      <c r="D112" s="2503" t="s">
        <v>74</v>
      </c>
      <c r="E112" s="2532" t="s">
        <v>75</v>
      </c>
      <c r="F112" s="2531" t="s">
        <v>26</v>
      </c>
      <c r="G112" s="2531" t="s">
        <v>76</v>
      </c>
      <c r="H112" s="2091" t="s">
        <v>28</v>
      </c>
      <c r="I112" s="348">
        <f>J112+L112</f>
        <v>735.9</v>
      </c>
      <c r="J112" s="349">
        <v>735.9</v>
      </c>
      <c r="K112" s="349">
        <v>705.4</v>
      </c>
      <c r="L112" s="350">
        <v>0</v>
      </c>
      <c r="M112" s="348">
        <f t="shared" ref="M112" si="63">N112+P112</f>
        <v>829.5</v>
      </c>
      <c r="N112" s="349">
        <v>829.5</v>
      </c>
      <c r="O112" s="349">
        <v>793.9</v>
      </c>
      <c r="P112" s="350">
        <v>0</v>
      </c>
      <c r="Q112" s="348">
        <f t="shared" ref="Q112" si="64">R112+T112</f>
        <v>829.5</v>
      </c>
      <c r="R112" s="349">
        <v>829.5</v>
      </c>
      <c r="S112" s="349">
        <v>796.9</v>
      </c>
      <c r="T112" s="350">
        <v>0</v>
      </c>
      <c r="U112" s="348">
        <f t="shared" ref="U112" si="65">V112+X112</f>
        <v>829.5</v>
      </c>
      <c r="V112" s="349">
        <v>829.5</v>
      </c>
      <c r="W112" s="349">
        <v>796.9</v>
      </c>
      <c r="X112" s="350">
        <v>0</v>
      </c>
    </row>
    <row r="113" spans="1:59" ht="25.5" customHeight="1" x14ac:dyDescent="0.2">
      <c r="A113" s="2558"/>
      <c r="B113" s="2545"/>
      <c r="C113" s="2530"/>
      <c r="D113" s="2504"/>
      <c r="E113" s="2532"/>
      <c r="F113" s="2531"/>
      <c r="G113" s="2531"/>
      <c r="H113" s="2088" t="s">
        <v>29</v>
      </c>
      <c r="I113" s="348">
        <v>6.5</v>
      </c>
      <c r="J113" s="349">
        <v>4.8</v>
      </c>
      <c r="K113" s="349"/>
      <c r="L113" s="350">
        <v>1.7</v>
      </c>
      <c r="M113" s="348"/>
      <c r="N113" s="349"/>
      <c r="O113" s="349"/>
      <c r="P113" s="350"/>
      <c r="Q113" s="348"/>
      <c r="R113" s="349"/>
      <c r="S113" s="349"/>
      <c r="T113" s="350"/>
      <c r="U113" s="348"/>
      <c r="V113" s="349"/>
      <c r="W113" s="349"/>
      <c r="X113" s="350"/>
    </row>
    <row r="114" spans="1:59" s="358" customFormat="1" ht="11.25" x14ac:dyDescent="0.2">
      <c r="A114" s="2558"/>
      <c r="B114" s="2545"/>
      <c r="C114" s="2530"/>
      <c r="D114" s="2504"/>
      <c r="E114" s="2532"/>
      <c r="F114" s="2530"/>
      <c r="G114" s="2530"/>
      <c r="H114" s="2093" t="s">
        <v>30</v>
      </c>
      <c r="I114" s="369">
        <f t="shared" ref="I114:I116" si="66">J114+L114</f>
        <v>799.8</v>
      </c>
      <c r="J114" s="370">
        <v>774.3</v>
      </c>
      <c r="K114" s="370">
        <v>592</v>
      </c>
      <c r="L114" s="371">
        <v>25.5</v>
      </c>
      <c r="M114" s="2122">
        <f t="shared" ref="M114:M117" si="67">N114+P114</f>
        <v>918.8</v>
      </c>
      <c r="N114" s="2079">
        <v>918.8</v>
      </c>
      <c r="O114" s="2079">
        <v>719</v>
      </c>
      <c r="P114" s="2080"/>
      <c r="Q114" s="2122">
        <v>933.1</v>
      </c>
      <c r="R114" s="2079">
        <v>933.1</v>
      </c>
      <c r="S114" s="2079">
        <v>733.1</v>
      </c>
      <c r="T114" s="2080"/>
      <c r="U114" s="2122">
        <v>933.1</v>
      </c>
      <c r="V114" s="2079">
        <v>933.1</v>
      </c>
      <c r="W114" s="2079">
        <v>733.1</v>
      </c>
      <c r="X114" s="2080"/>
      <c r="Y114" s="339"/>
      <c r="Z114" s="339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  <c r="AK114" s="339"/>
      <c r="AL114" s="339"/>
      <c r="AM114" s="339"/>
      <c r="AN114" s="339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339"/>
      <c r="BE114" s="339"/>
      <c r="BF114" s="339"/>
      <c r="BG114" s="339"/>
    </row>
    <row r="115" spans="1:59" s="358" customFormat="1" ht="21" customHeight="1" x14ac:dyDescent="0.2">
      <c r="A115" s="2558"/>
      <c r="B115" s="2545"/>
      <c r="C115" s="2530"/>
      <c r="D115" s="2504"/>
      <c r="E115" s="2532"/>
      <c r="F115" s="2510"/>
      <c r="G115" s="2510"/>
      <c r="H115" s="2093" t="s">
        <v>31</v>
      </c>
      <c r="I115" s="2123">
        <f t="shared" si="66"/>
        <v>3.2</v>
      </c>
      <c r="J115" s="355">
        <v>3.2</v>
      </c>
      <c r="K115" s="355">
        <v>3.2</v>
      </c>
      <c r="L115" s="356"/>
      <c r="M115" s="2123">
        <f t="shared" si="67"/>
        <v>0</v>
      </c>
      <c r="N115" s="355"/>
      <c r="O115" s="355"/>
      <c r="P115" s="356"/>
      <c r="Q115" s="2123">
        <v>0</v>
      </c>
      <c r="R115" s="355"/>
      <c r="S115" s="355"/>
      <c r="T115" s="356"/>
      <c r="U115" s="2123">
        <v>0</v>
      </c>
      <c r="V115" s="355"/>
      <c r="W115" s="355"/>
      <c r="X115" s="356"/>
      <c r="Y115" s="339"/>
      <c r="Z115" s="339"/>
      <c r="AA115" s="339"/>
      <c r="AB115" s="339"/>
      <c r="AC115" s="339"/>
      <c r="AD115" s="339"/>
      <c r="AE115" s="339"/>
      <c r="AF115" s="339"/>
      <c r="AG115" s="339"/>
      <c r="AH115" s="339"/>
      <c r="AI115" s="339"/>
      <c r="AJ115" s="339"/>
      <c r="AK115" s="339"/>
      <c r="AL115" s="339"/>
      <c r="AM115" s="339"/>
      <c r="AN115" s="339"/>
      <c r="AO115" s="339"/>
      <c r="AP115" s="339"/>
      <c r="AQ115" s="339"/>
      <c r="AR115" s="339"/>
      <c r="AS115" s="339"/>
      <c r="AT115" s="339"/>
      <c r="AU115" s="339"/>
      <c r="AV115" s="339"/>
      <c r="AW115" s="339"/>
      <c r="AX115" s="339"/>
      <c r="AY115" s="339"/>
      <c r="AZ115" s="339"/>
      <c r="BA115" s="339"/>
      <c r="BB115" s="339"/>
      <c r="BC115" s="339"/>
      <c r="BD115" s="339"/>
      <c r="BE115" s="339"/>
      <c r="BF115" s="339"/>
      <c r="BG115" s="339"/>
    </row>
    <row r="116" spans="1:59" s="358" customFormat="1" ht="11.25" x14ac:dyDescent="0.2">
      <c r="A116" s="2558"/>
      <c r="B116" s="2545"/>
      <c r="C116" s="2530"/>
      <c r="D116" s="2504"/>
      <c r="E116" s="2532"/>
      <c r="F116" s="2510"/>
      <c r="G116" s="2510"/>
      <c r="H116" s="2093" t="s">
        <v>33</v>
      </c>
      <c r="I116" s="2123">
        <f t="shared" si="66"/>
        <v>5.5</v>
      </c>
      <c r="J116" s="355">
        <f>3.8+1.7</f>
        <v>5.5</v>
      </c>
      <c r="K116" s="355">
        <v>3.7</v>
      </c>
      <c r="L116" s="356"/>
      <c r="M116" s="2123">
        <f t="shared" si="67"/>
        <v>1.5</v>
      </c>
      <c r="N116" s="355">
        <v>1.5</v>
      </c>
      <c r="O116" s="355">
        <v>1.5</v>
      </c>
      <c r="P116" s="356"/>
      <c r="Q116" s="2123">
        <v>0</v>
      </c>
      <c r="R116" s="355"/>
      <c r="S116" s="355"/>
      <c r="T116" s="356"/>
      <c r="U116" s="2123">
        <v>0</v>
      </c>
      <c r="V116" s="355"/>
      <c r="W116" s="355"/>
      <c r="X116" s="356"/>
      <c r="Y116" s="339"/>
      <c r="Z116" s="33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39"/>
      <c r="AT116" s="339"/>
      <c r="AU116" s="339"/>
      <c r="AV116" s="339"/>
      <c r="AW116" s="339"/>
      <c r="AX116" s="339"/>
      <c r="AY116" s="339"/>
      <c r="AZ116" s="339"/>
      <c r="BA116" s="339"/>
      <c r="BB116" s="339"/>
      <c r="BC116" s="339"/>
      <c r="BD116" s="339"/>
      <c r="BE116" s="339"/>
      <c r="BF116" s="339"/>
      <c r="BG116" s="339"/>
    </row>
    <row r="117" spans="1:59" ht="12" thickBot="1" x14ac:dyDescent="0.25">
      <c r="A117" s="2558"/>
      <c r="B117" s="2545"/>
      <c r="C117" s="2530"/>
      <c r="D117" s="2504"/>
      <c r="E117" s="2532"/>
      <c r="F117" s="2510"/>
      <c r="G117" s="2510"/>
      <c r="H117" s="2093" t="s">
        <v>34</v>
      </c>
      <c r="I117" s="2123">
        <f>J117+L117</f>
        <v>63.800000000000004</v>
      </c>
      <c r="J117" s="355">
        <v>61.6</v>
      </c>
      <c r="K117" s="355">
        <v>8.6</v>
      </c>
      <c r="L117" s="356">
        <v>2.2000000000000002</v>
      </c>
      <c r="M117" s="2123">
        <f t="shared" si="67"/>
        <v>87.6</v>
      </c>
      <c r="N117" s="355">
        <v>87.6</v>
      </c>
      <c r="O117" s="355">
        <v>11.4</v>
      </c>
      <c r="P117" s="356"/>
      <c r="Q117" s="2123">
        <f>R117+T117</f>
        <v>87.6</v>
      </c>
      <c r="R117" s="355">
        <v>87.6</v>
      </c>
      <c r="S117" s="355">
        <v>11.4</v>
      </c>
      <c r="T117" s="356"/>
      <c r="U117" s="2123">
        <f>V117+X117</f>
        <v>87.6</v>
      </c>
      <c r="V117" s="355">
        <v>87.6</v>
      </c>
      <c r="W117" s="355">
        <v>11.4</v>
      </c>
      <c r="X117" s="356"/>
    </row>
    <row r="118" spans="1:59" ht="12" thickBot="1" x14ac:dyDescent="0.25">
      <c r="A118" s="2559"/>
      <c r="B118" s="2545"/>
      <c r="C118" s="2530"/>
      <c r="D118" s="2505"/>
      <c r="E118" s="2532"/>
      <c r="F118" s="2516" t="s">
        <v>35</v>
      </c>
      <c r="G118" s="2517"/>
      <c r="H118" s="2517"/>
      <c r="I118" s="359">
        <f t="shared" ref="I118:I144" si="68">J118+L118</f>
        <v>1614.7</v>
      </c>
      <c r="J118" s="360">
        <f>SUM(J112:J117)</f>
        <v>1585.3</v>
      </c>
      <c r="K118" s="360">
        <f>SUM(K112:K117)</f>
        <v>1312.9</v>
      </c>
      <c r="L118" s="361">
        <f>SUM(L112:L117)</f>
        <v>29.4</v>
      </c>
      <c r="M118" s="359">
        <f>N118+P118</f>
        <v>1837.3999999999999</v>
      </c>
      <c r="N118" s="360">
        <f>SUM(N112:N117)</f>
        <v>1837.3999999999999</v>
      </c>
      <c r="O118" s="360">
        <f>SUM(O112:O117)</f>
        <v>1525.8000000000002</v>
      </c>
      <c r="P118" s="361">
        <f>SUM(P112:P117)</f>
        <v>0</v>
      </c>
      <c r="Q118" s="359">
        <f>R118+T118</f>
        <v>1850.1999999999998</v>
      </c>
      <c r="R118" s="360">
        <f>R112+R113+R114+R115+R116+R117</f>
        <v>1850.1999999999998</v>
      </c>
      <c r="S118" s="360">
        <f>S112+S113+S114+S115+S116+S117</f>
        <v>1541.4</v>
      </c>
      <c r="T118" s="361">
        <v>0</v>
      </c>
      <c r="U118" s="359">
        <f>V118+X118</f>
        <v>1850.1999999999998</v>
      </c>
      <c r="V118" s="360">
        <f>V112+V113+V114+V115+V116+V117</f>
        <v>1850.1999999999998</v>
      </c>
      <c r="W118" s="360">
        <f>W113+W112+W114+W115+W116+W117</f>
        <v>1541.4</v>
      </c>
      <c r="X118" s="361">
        <v>0</v>
      </c>
    </row>
    <row r="119" spans="1:59" s="358" customFormat="1" ht="17.25" customHeight="1" x14ac:dyDescent="0.2">
      <c r="A119" s="2557">
        <v>1</v>
      </c>
      <c r="B119" s="2545">
        <v>1</v>
      </c>
      <c r="C119" s="2530">
        <v>15</v>
      </c>
      <c r="D119" s="2527" t="s">
        <v>77</v>
      </c>
      <c r="E119" s="2622" t="s">
        <v>78</v>
      </c>
      <c r="F119" s="2531" t="s">
        <v>79</v>
      </c>
      <c r="G119" s="2531" t="s">
        <v>80</v>
      </c>
      <c r="H119" s="2091" t="s">
        <v>28</v>
      </c>
      <c r="I119" s="348">
        <f t="shared" si="68"/>
        <v>321.5</v>
      </c>
      <c r="J119" s="349">
        <f>320.2+5.1-3.8</f>
        <v>321.5</v>
      </c>
      <c r="K119" s="349">
        <v>301.3</v>
      </c>
      <c r="L119" s="350">
        <v>0</v>
      </c>
      <c r="M119" s="348">
        <f t="shared" ref="M119:M122" si="69">N119+P119</f>
        <v>389.8</v>
      </c>
      <c r="N119" s="349">
        <v>389.8</v>
      </c>
      <c r="O119" s="349">
        <v>371.4</v>
      </c>
      <c r="P119" s="350">
        <v>0</v>
      </c>
      <c r="Q119" s="348">
        <f t="shared" ref="Q119" si="70">R119+T119</f>
        <v>389.8</v>
      </c>
      <c r="R119" s="349">
        <v>389.8</v>
      </c>
      <c r="S119" s="349">
        <v>375.4</v>
      </c>
      <c r="T119" s="350">
        <v>0</v>
      </c>
      <c r="U119" s="348">
        <f t="shared" ref="U119" si="71">V119+X119</f>
        <v>389.8</v>
      </c>
      <c r="V119" s="349">
        <v>389.8</v>
      </c>
      <c r="W119" s="349">
        <v>375.4</v>
      </c>
      <c r="X119" s="350">
        <v>0</v>
      </c>
      <c r="Y119" s="339"/>
      <c r="Z119" s="339"/>
      <c r="AA119" s="339"/>
      <c r="AB119" s="339"/>
      <c r="AC119" s="339"/>
      <c r="AD119" s="339"/>
      <c r="AE119" s="339"/>
      <c r="AF119" s="339"/>
      <c r="AG119" s="339"/>
      <c r="AH119" s="339"/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39"/>
      <c r="AT119" s="339"/>
      <c r="AU119" s="339"/>
      <c r="AV119" s="339"/>
      <c r="AW119" s="339"/>
      <c r="AX119" s="339"/>
      <c r="AY119" s="339"/>
      <c r="AZ119" s="339"/>
      <c r="BA119" s="339"/>
      <c r="BB119" s="339"/>
      <c r="BC119" s="339"/>
      <c r="BD119" s="339"/>
      <c r="BE119" s="339"/>
      <c r="BF119" s="339"/>
      <c r="BG119" s="339"/>
    </row>
    <row r="120" spans="1:59" ht="18" customHeight="1" x14ac:dyDescent="0.2">
      <c r="A120" s="2558"/>
      <c r="B120" s="2545"/>
      <c r="C120" s="2530"/>
      <c r="D120" s="2528"/>
      <c r="E120" s="2622"/>
      <c r="F120" s="2530"/>
      <c r="G120" s="2530"/>
      <c r="H120" s="2093" t="s">
        <v>30</v>
      </c>
      <c r="I120" s="2122">
        <f t="shared" si="68"/>
        <v>656.2</v>
      </c>
      <c r="J120" s="2380">
        <v>647</v>
      </c>
      <c r="K120" s="2380">
        <v>578.70000000000005</v>
      </c>
      <c r="L120" s="2381">
        <v>9.1999999999999993</v>
      </c>
      <c r="M120" s="2122">
        <f t="shared" si="69"/>
        <v>833.6</v>
      </c>
      <c r="N120" s="2079">
        <v>833.6</v>
      </c>
      <c r="O120" s="2079">
        <v>755.9</v>
      </c>
      <c r="P120" s="2080"/>
      <c r="Q120" s="2122">
        <v>843.2</v>
      </c>
      <c r="R120" s="2079">
        <v>843.2</v>
      </c>
      <c r="S120" s="2079">
        <v>765.8</v>
      </c>
      <c r="T120" s="2080"/>
      <c r="U120" s="2122">
        <v>843.2</v>
      </c>
      <c r="V120" s="2079">
        <v>843.2</v>
      </c>
      <c r="W120" s="2079">
        <v>765.8</v>
      </c>
      <c r="X120" s="2080"/>
    </row>
    <row r="121" spans="1:59" s="358" customFormat="1" ht="21" customHeight="1" x14ac:dyDescent="0.2">
      <c r="A121" s="2558"/>
      <c r="B121" s="2545"/>
      <c r="C121" s="2530"/>
      <c r="D121" s="2528"/>
      <c r="E121" s="2622"/>
      <c r="F121" s="2510"/>
      <c r="G121" s="2510"/>
      <c r="H121" s="2093" t="s">
        <v>33</v>
      </c>
      <c r="I121" s="2123">
        <f t="shared" si="68"/>
        <v>10.5</v>
      </c>
      <c r="J121" s="355">
        <f>7.5+3</f>
        <v>10.5</v>
      </c>
      <c r="K121" s="355">
        <v>7.4</v>
      </c>
      <c r="L121" s="356"/>
      <c r="M121" s="2123">
        <f t="shared" si="69"/>
        <v>27.9</v>
      </c>
      <c r="N121" s="355">
        <f>1.5+26.4</f>
        <v>27.9</v>
      </c>
      <c r="O121" s="355">
        <f>1.5+26</f>
        <v>27.5</v>
      </c>
      <c r="P121" s="356"/>
      <c r="Q121" s="2123">
        <v>0</v>
      </c>
      <c r="R121" s="355"/>
      <c r="S121" s="355"/>
      <c r="T121" s="356"/>
      <c r="U121" s="2123">
        <v>0</v>
      </c>
      <c r="V121" s="355"/>
      <c r="W121" s="355"/>
      <c r="X121" s="356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339"/>
      <c r="AI121" s="339"/>
      <c r="AJ121" s="339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  <c r="BC121" s="339"/>
      <c r="BD121" s="339"/>
      <c r="BE121" s="339"/>
      <c r="BF121" s="339"/>
      <c r="BG121" s="339"/>
    </row>
    <row r="122" spans="1:59" ht="19.5" customHeight="1" thickBot="1" x14ac:dyDescent="0.25">
      <c r="A122" s="2558"/>
      <c r="B122" s="2545"/>
      <c r="C122" s="2530"/>
      <c r="D122" s="2528"/>
      <c r="E122" s="2622"/>
      <c r="F122" s="2510"/>
      <c r="G122" s="2510"/>
      <c r="H122" s="2093" t="s">
        <v>34</v>
      </c>
      <c r="I122" s="2123">
        <f>J122+L122</f>
        <v>49.3</v>
      </c>
      <c r="J122" s="355">
        <v>46.4</v>
      </c>
      <c r="K122" s="355">
        <v>6.1</v>
      </c>
      <c r="L122" s="356">
        <v>2.9</v>
      </c>
      <c r="M122" s="2123">
        <f t="shared" si="69"/>
        <v>76.900000000000006</v>
      </c>
      <c r="N122" s="355">
        <v>71.900000000000006</v>
      </c>
      <c r="O122" s="355">
        <v>14.1</v>
      </c>
      <c r="P122" s="356">
        <v>5</v>
      </c>
      <c r="Q122" s="2123">
        <f>R122+T122</f>
        <v>71.900000000000006</v>
      </c>
      <c r="R122" s="355">
        <v>71.900000000000006</v>
      </c>
      <c r="S122" s="355">
        <v>14.1</v>
      </c>
      <c r="T122" s="356"/>
      <c r="U122" s="2123">
        <f>V122+X122</f>
        <v>71.900000000000006</v>
      </c>
      <c r="V122" s="355">
        <v>71.900000000000006</v>
      </c>
      <c r="W122" s="355">
        <v>14.1</v>
      </c>
      <c r="X122" s="356"/>
    </row>
    <row r="123" spans="1:59" s="358" customFormat="1" ht="22.5" customHeight="1" thickBot="1" x14ac:dyDescent="0.25">
      <c r="A123" s="2559"/>
      <c r="B123" s="2545"/>
      <c r="C123" s="2530"/>
      <c r="D123" s="2529"/>
      <c r="E123" s="2622"/>
      <c r="F123" s="2516" t="s">
        <v>35</v>
      </c>
      <c r="G123" s="2517"/>
      <c r="H123" s="2517"/>
      <c r="I123" s="359">
        <f t="shared" si="68"/>
        <v>1037.5</v>
      </c>
      <c r="J123" s="360">
        <f>SUM(J119:J122)</f>
        <v>1025.4000000000001</v>
      </c>
      <c r="K123" s="360">
        <f>SUM(K119:K122)</f>
        <v>893.5</v>
      </c>
      <c r="L123" s="361">
        <f>SUM(L119:L122)</f>
        <v>12.1</v>
      </c>
      <c r="M123" s="359">
        <f>N123+P123</f>
        <v>1328.2000000000003</v>
      </c>
      <c r="N123" s="360">
        <f>SUM(N119:N122)</f>
        <v>1323.2000000000003</v>
      </c>
      <c r="O123" s="360">
        <f>SUM(O119:O122)</f>
        <v>1168.8999999999999</v>
      </c>
      <c r="P123" s="361">
        <f>SUM(P119:P122)</f>
        <v>5</v>
      </c>
      <c r="Q123" s="359">
        <f>R123+T123</f>
        <v>1304.9000000000001</v>
      </c>
      <c r="R123" s="360">
        <f>R119+R120+R121+R122</f>
        <v>1304.9000000000001</v>
      </c>
      <c r="S123" s="360">
        <f>S119+S120+S121+S122</f>
        <v>1155.2999999999997</v>
      </c>
      <c r="T123" s="361">
        <f>SUM(T119:T122)</f>
        <v>0</v>
      </c>
      <c r="U123" s="359">
        <f>V123+X123</f>
        <v>1304.9000000000001</v>
      </c>
      <c r="V123" s="360">
        <f>V119+V120+V122</f>
        <v>1304.9000000000001</v>
      </c>
      <c r="W123" s="360">
        <f>W119+W120+W121+W122</f>
        <v>1155.2999999999997</v>
      </c>
      <c r="X123" s="361">
        <f>SUM(X119:X122)</f>
        <v>0</v>
      </c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339"/>
      <c r="BD123" s="339"/>
      <c r="BE123" s="339"/>
      <c r="BF123" s="339"/>
      <c r="BG123" s="339"/>
    </row>
    <row r="124" spans="1:59" ht="24" customHeight="1" x14ac:dyDescent="0.2">
      <c r="A124" s="2557">
        <v>1</v>
      </c>
      <c r="B124" s="2545">
        <v>1</v>
      </c>
      <c r="C124" s="2530">
        <v>16</v>
      </c>
      <c r="D124" s="2527" t="s">
        <v>81</v>
      </c>
      <c r="E124" s="2622" t="s">
        <v>82</v>
      </c>
      <c r="F124" s="2531" t="s">
        <v>79</v>
      </c>
      <c r="G124" s="2531" t="s">
        <v>83</v>
      </c>
      <c r="H124" s="2091" t="s">
        <v>28</v>
      </c>
      <c r="I124" s="348">
        <f t="shared" si="68"/>
        <v>376.2</v>
      </c>
      <c r="J124" s="349">
        <v>376.2</v>
      </c>
      <c r="K124" s="349">
        <v>359.3</v>
      </c>
      <c r="L124" s="350"/>
      <c r="M124" s="348">
        <f>N124+P124</f>
        <v>428.4</v>
      </c>
      <c r="N124" s="349">
        <v>428.4</v>
      </c>
      <c r="O124" s="349">
        <v>409.8</v>
      </c>
      <c r="P124" s="350"/>
      <c r="Q124" s="348">
        <f>R124+T124</f>
        <v>428.4</v>
      </c>
      <c r="R124" s="349">
        <v>428.4</v>
      </c>
      <c r="S124" s="349">
        <v>412.3</v>
      </c>
      <c r="T124" s="350"/>
      <c r="U124" s="348">
        <f>V124+X124</f>
        <v>428.4</v>
      </c>
      <c r="V124" s="349">
        <v>428.4</v>
      </c>
      <c r="W124" s="349">
        <v>412.3</v>
      </c>
      <c r="X124" s="350"/>
    </row>
    <row r="125" spans="1:59" ht="24" customHeight="1" x14ac:dyDescent="0.2">
      <c r="A125" s="2558"/>
      <c r="B125" s="2545"/>
      <c r="C125" s="2530"/>
      <c r="D125" s="2528"/>
      <c r="E125" s="2622"/>
      <c r="F125" s="2530"/>
      <c r="G125" s="2530"/>
      <c r="H125" s="2093" t="s">
        <v>30</v>
      </c>
      <c r="I125" s="2122">
        <f t="shared" si="68"/>
        <v>742.6</v>
      </c>
      <c r="J125" s="2380">
        <v>723.4</v>
      </c>
      <c r="K125" s="2380">
        <v>619.6</v>
      </c>
      <c r="L125" s="2381">
        <v>19.2</v>
      </c>
      <c r="M125" s="2122">
        <f t="shared" ref="M125:M127" si="72">N125+P125</f>
        <v>865.6</v>
      </c>
      <c r="N125" s="2079">
        <v>865.6</v>
      </c>
      <c r="O125" s="2079">
        <v>784.4</v>
      </c>
      <c r="P125" s="2080"/>
      <c r="Q125" s="348">
        <f t="shared" ref="Q125:Q145" si="73">R125+T125</f>
        <v>858.8</v>
      </c>
      <c r="R125" s="2079">
        <v>858.8</v>
      </c>
      <c r="S125" s="2079">
        <v>777.7</v>
      </c>
      <c r="T125" s="2080"/>
      <c r="U125" s="348">
        <f>V125+X125</f>
        <v>858.8</v>
      </c>
      <c r="V125" s="2079">
        <v>858.8</v>
      </c>
      <c r="W125" s="2079">
        <v>777.7</v>
      </c>
      <c r="X125" s="2080"/>
    </row>
    <row r="126" spans="1:59" s="358" customFormat="1" ht="21" customHeight="1" x14ac:dyDescent="0.2">
      <c r="A126" s="2558"/>
      <c r="B126" s="2545"/>
      <c r="C126" s="2530"/>
      <c r="D126" s="2528"/>
      <c r="E126" s="2622"/>
      <c r="F126" s="2510"/>
      <c r="G126" s="2510"/>
      <c r="H126" s="2093" t="s">
        <v>33</v>
      </c>
      <c r="I126" s="2123">
        <f t="shared" si="68"/>
        <v>7.5</v>
      </c>
      <c r="J126" s="355">
        <v>7.5</v>
      </c>
      <c r="K126" s="355">
        <v>7.4</v>
      </c>
      <c r="L126" s="356"/>
      <c r="M126" s="2123">
        <f t="shared" si="72"/>
        <v>32.5</v>
      </c>
      <c r="N126" s="355">
        <f>1.5+31</f>
        <v>32.5</v>
      </c>
      <c r="O126" s="355">
        <f>1.5+30.6</f>
        <v>32.1</v>
      </c>
      <c r="P126" s="356"/>
      <c r="Q126" s="348">
        <f t="shared" si="73"/>
        <v>0</v>
      </c>
      <c r="R126" s="355"/>
      <c r="S126" s="355"/>
      <c r="T126" s="356"/>
      <c r="U126" s="348"/>
      <c r="V126" s="355"/>
      <c r="W126" s="355"/>
      <c r="X126" s="356"/>
      <c r="Y126" s="339"/>
      <c r="Z126" s="33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39"/>
      <c r="AT126" s="339"/>
      <c r="AU126" s="339"/>
      <c r="AV126" s="339"/>
      <c r="AW126" s="339"/>
      <c r="AX126" s="339"/>
      <c r="AY126" s="339"/>
      <c r="AZ126" s="339"/>
      <c r="BA126" s="339"/>
      <c r="BB126" s="339"/>
      <c r="BC126" s="339"/>
      <c r="BD126" s="339"/>
      <c r="BE126" s="339"/>
      <c r="BF126" s="339"/>
      <c r="BG126" s="339"/>
    </row>
    <row r="127" spans="1:59" ht="15" customHeight="1" thickBot="1" x14ac:dyDescent="0.25">
      <c r="A127" s="2558"/>
      <c r="B127" s="2545"/>
      <c r="C127" s="2530"/>
      <c r="D127" s="2528"/>
      <c r="E127" s="2622"/>
      <c r="F127" s="2510"/>
      <c r="G127" s="2510"/>
      <c r="H127" s="2093" t="s">
        <v>34</v>
      </c>
      <c r="I127" s="2123">
        <f>J127+L127</f>
        <v>77.2</v>
      </c>
      <c r="J127" s="355">
        <v>70.2</v>
      </c>
      <c r="K127" s="355">
        <v>10.6</v>
      </c>
      <c r="L127" s="356">
        <v>7</v>
      </c>
      <c r="M127" s="2123">
        <f t="shared" si="72"/>
        <v>98.2</v>
      </c>
      <c r="N127" s="355">
        <v>94.2</v>
      </c>
      <c r="O127" s="355">
        <v>16.8</v>
      </c>
      <c r="P127" s="356">
        <v>4</v>
      </c>
      <c r="Q127" s="372">
        <f t="shared" si="73"/>
        <v>94.2</v>
      </c>
      <c r="R127" s="355">
        <v>94.2</v>
      </c>
      <c r="S127" s="355">
        <v>16.8</v>
      </c>
      <c r="T127" s="356"/>
      <c r="U127" s="372">
        <f t="shared" ref="U127:U134" si="74">V127+X127</f>
        <v>94.2</v>
      </c>
      <c r="V127" s="355">
        <v>94.2</v>
      </c>
      <c r="W127" s="355">
        <v>16.8</v>
      </c>
      <c r="X127" s="356"/>
    </row>
    <row r="128" spans="1:59" ht="24" customHeight="1" thickBot="1" x14ac:dyDescent="0.25">
      <c r="A128" s="2558"/>
      <c r="B128" s="2540"/>
      <c r="C128" s="2510"/>
      <c r="D128" s="2529"/>
      <c r="E128" s="2625"/>
      <c r="F128" s="2516" t="s">
        <v>35</v>
      </c>
      <c r="G128" s="2517"/>
      <c r="H128" s="2517"/>
      <c r="I128" s="359">
        <f t="shared" si="68"/>
        <v>1203.5</v>
      </c>
      <c r="J128" s="360">
        <f>SUM(J124:J127)</f>
        <v>1177.3</v>
      </c>
      <c r="K128" s="360">
        <f>SUM(K124:K127)</f>
        <v>996.90000000000009</v>
      </c>
      <c r="L128" s="361">
        <f>SUM(L124:L127)</f>
        <v>26.2</v>
      </c>
      <c r="M128" s="359">
        <f>N128+P128</f>
        <v>1424.7</v>
      </c>
      <c r="N128" s="360">
        <f>SUM(N124:N127)</f>
        <v>1420.7</v>
      </c>
      <c r="O128" s="360">
        <f>SUM(O124:O127)</f>
        <v>1243.0999999999999</v>
      </c>
      <c r="P128" s="361">
        <f>SUM(P124:P127)</f>
        <v>4</v>
      </c>
      <c r="Q128" s="373">
        <f t="shared" si="73"/>
        <v>1381.3999999999999</v>
      </c>
      <c r="R128" s="374">
        <f>R124+R125+R126+R127</f>
        <v>1381.3999999999999</v>
      </c>
      <c r="S128" s="360">
        <f>S124+S126+S127+S125</f>
        <v>1206.8000000000002</v>
      </c>
      <c r="T128" s="361">
        <f>T124+T125+T126+T127</f>
        <v>0</v>
      </c>
      <c r="U128" s="373">
        <f t="shared" si="74"/>
        <v>1381.3999999999999</v>
      </c>
      <c r="V128" s="374">
        <f>V124+V125+V126+V127</f>
        <v>1381.3999999999999</v>
      </c>
      <c r="W128" s="360">
        <f>W124+W125+W126+W127</f>
        <v>1206.8</v>
      </c>
      <c r="X128" s="361">
        <f>X124+X125+X126+X127</f>
        <v>0</v>
      </c>
    </row>
    <row r="129" spans="1:59" ht="16.5" customHeight="1" x14ac:dyDescent="0.2">
      <c r="A129" s="2585">
        <v>1</v>
      </c>
      <c r="B129" s="2545">
        <v>1</v>
      </c>
      <c r="C129" s="2530">
        <v>17</v>
      </c>
      <c r="D129" s="2527" t="s">
        <v>84</v>
      </c>
      <c r="E129" s="2624" t="s">
        <v>85</v>
      </c>
      <c r="F129" s="2531" t="s">
        <v>79</v>
      </c>
      <c r="G129" s="2531" t="s">
        <v>86</v>
      </c>
      <c r="H129" s="2091" t="s">
        <v>28</v>
      </c>
      <c r="I129" s="348">
        <f t="shared" si="68"/>
        <v>327.60000000000002</v>
      </c>
      <c r="J129" s="349">
        <v>327.60000000000002</v>
      </c>
      <c r="K129" s="349">
        <f>305+3.1</f>
        <v>308.10000000000002</v>
      </c>
      <c r="L129" s="350">
        <v>0</v>
      </c>
      <c r="M129" s="348">
        <f t="shared" ref="M129:M132" si="75">N129+P129</f>
        <v>409.3</v>
      </c>
      <c r="N129" s="349">
        <v>409.3</v>
      </c>
      <c r="O129" s="349">
        <v>393.8</v>
      </c>
      <c r="P129" s="350">
        <v>0</v>
      </c>
      <c r="Q129" s="348">
        <f t="shared" si="73"/>
        <v>409.3</v>
      </c>
      <c r="R129" s="349">
        <v>409.3</v>
      </c>
      <c r="S129" s="349">
        <v>394.6</v>
      </c>
      <c r="T129" s="350">
        <v>0</v>
      </c>
      <c r="U129" s="348">
        <f t="shared" si="74"/>
        <v>409.3</v>
      </c>
      <c r="V129" s="349">
        <v>409.3</v>
      </c>
      <c r="W129" s="349">
        <v>394.6</v>
      </c>
      <c r="X129" s="350">
        <v>0</v>
      </c>
    </row>
    <row r="130" spans="1:59" ht="18.75" customHeight="1" x14ac:dyDescent="0.2">
      <c r="A130" s="2585"/>
      <c r="B130" s="2545"/>
      <c r="C130" s="2530"/>
      <c r="D130" s="2528"/>
      <c r="E130" s="2624"/>
      <c r="F130" s="2530"/>
      <c r="G130" s="2530"/>
      <c r="H130" s="2092" t="s">
        <v>30</v>
      </c>
      <c r="I130" s="2122">
        <f t="shared" si="68"/>
        <v>681</v>
      </c>
      <c r="J130" s="2380">
        <v>656</v>
      </c>
      <c r="K130" s="2380">
        <v>578.70000000000005</v>
      </c>
      <c r="L130" s="2381">
        <v>25</v>
      </c>
      <c r="M130" s="2122">
        <f t="shared" si="75"/>
        <v>774.8</v>
      </c>
      <c r="N130" s="2079">
        <v>774.8</v>
      </c>
      <c r="O130" s="2079">
        <v>711.8</v>
      </c>
      <c r="P130" s="2080"/>
      <c r="Q130" s="348">
        <f t="shared" si="73"/>
        <v>774.9</v>
      </c>
      <c r="R130" s="2079">
        <v>774.9</v>
      </c>
      <c r="S130" s="2079">
        <v>711.9</v>
      </c>
      <c r="T130" s="2080"/>
      <c r="U130" s="348">
        <f t="shared" si="74"/>
        <v>774.9</v>
      </c>
      <c r="V130" s="2079">
        <v>774.9</v>
      </c>
      <c r="W130" s="2079">
        <v>711.9</v>
      </c>
      <c r="X130" s="2080"/>
    </row>
    <row r="131" spans="1:59" ht="18.75" customHeight="1" x14ac:dyDescent="0.2">
      <c r="A131" s="2585"/>
      <c r="B131" s="2545"/>
      <c r="C131" s="2530"/>
      <c r="D131" s="2528"/>
      <c r="E131" s="2624"/>
      <c r="F131" s="2510"/>
      <c r="G131" s="2510"/>
      <c r="H131" s="2093" t="s">
        <v>33</v>
      </c>
      <c r="I131" s="2123">
        <f>J131+L131</f>
        <v>3.3</v>
      </c>
      <c r="J131" s="355">
        <v>3.3</v>
      </c>
      <c r="K131" s="355"/>
      <c r="L131" s="356"/>
      <c r="M131" s="2123">
        <f t="shared" si="75"/>
        <v>27.9</v>
      </c>
      <c r="N131" s="355">
        <f>1.5+26.4</f>
        <v>27.9</v>
      </c>
      <c r="O131" s="355">
        <f>1.5+26</f>
        <v>27.5</v>
      </c>
      <c r="P131" s="356"/>
      <c r="Q131" s="348">
        <f t="shared" si="73"/>
        <v>0</v>
      </c>
      <c r="R131" s="355"/>
      <c r="S131" s="355"/>
      <c r="T131" s="356"/>
      <c r="U131" s="348">
        <f t="shared" si="74"/>
        <v>0</v>
      </c>
      <c r="V131" s="355"/>
      <c r="W131" s="355"/>
      <c r="X131" s="356"/>
    </row>
    <row r="132" spans="1:59" s="358" customFormat="1" ht="18.75" customHeight="1" thickBot="1" x14ac:dyDescent="0.25">
      <c r="A132" s="2585"/>
      <c r="B132" s="2545"/>
      <c r="C132" s="2530"/>
      <c r="D132" s="2528"/>
      <c r="E132" s="2624"/>
      <c r="F132" s="2510"/>
      <c r="G132" s="2510"/>
      <c r="H132" s="2093" t="s">
        <v>34</v>
      </c>
      <c r="I132" s="2123">
        <f t="shared" si="68"/>
        <v>70.3</v>
      </c>
      <c r="J132" s="355">
        <v>70.3</v>
      </c>
      <c r="K132" s="355">
        <v>3.7</v>
      </c>
      <c r="L132" s="356"/>
      <c r="M132" s="2123">
        <f t="shared" si="75"/>
        <v>88.1</v>
      </c>
      <c r="N132" s="355">
        <v>88.1</v>
      </c>
      <c r="O132" s="355">
        <v>13.1</v>
      </c>
      <c r="P132" s="356"/>
      <c r="Q132" s="372">
        <f t="shared" si="73"/>
        <v>88.1</v>
      </c>
      <c r="R132" s="355">
        <v>88.1</v>
      </c>
      <c r="S132" s="355">
        <v>13.1</v>
      </c>
      <c r="T132" s="356"/>
      <c r="U132" s="372">
        <f t="shared" si="74"/>
        <v>88.1</v>
      </c>
      <c r="V132" s="355">
        <v>88.1</v>
      </c>
      <c r="W132" s="355">
        <v>13.1</v>
      </c>
      <c r="X132" s="356"/>
      <c r="Y132" s="339"/>
      <c r="Z132" s="339"/>
      <c r="AA132" s="339"/>
      <c r="AB132" s="339"/>
      <c r="AC132" s="339"/>
      <c r="AD132" s="339"/>
      <c r="AE132" s="339"/>
      <c r="AF132" s="339"/>
      <c r="AG132" s="339"/>
      <c r="AH132" s="339"/>
      <c r="AI132" s="339"/>
      <c r="AJ132" s="339"/>
      <c r="AK132" s="339"/>
      <c r="AL132" s="339"/>
      <c r="AM132" s="339"/>
      <c r="AN132" s="339"/>
      <c r="AO132" s="339"/>
      <c r="AP132" s="339"/>
      <c r="AQ132" s="339"/>
      <c r="AR132" s="339"/>
      <c r="AS132" s="339"/>
      <c r="AT132" s="339"/>
      <c r="AU132" s="339"/>
      <c r="AV132" s="339"/>
      <c r="AW132" s="339"/>
      <c r="AX132" s="339"/>
      <c r="AY132" s="339"/>
      <c r="AZ132" s="339"/>
      <c r="BA132" s="339"/>
      <c r="BB132" s="339"/>
      <c r="BC132" s="339"/>
      <c r="BD132" s="339"/>
      <c r="BE132" s="339"/>
      <c r="BF132" s="339"/>
      <c r="BG132" s="339"/>
    </row>
    <row r="133" spans="1:59" ht="29.25" customHeight="1" thickBot="1" x14ac:dyDescent="0.25">
      <c r="A133" s="2585"/>
      <c r="B133" s="2545"/>
      <c r="C133" s="2530"/>
      <c r="D133" s="2529"/>
      <c r="E133" s="2622"/>
      <c r="F133" s="2578" t="s">
        <v>35</v>
      </c>
      <c r="G133" s="2579"/>
      <c r="H133" s="2586"/>
      <c r="I133" s="359">
        <f t="shared" si="68"/>
        <v>1082.2</v>
      </c>
      <c r="J133" s="360">
        <f>SUM(J129:J132)</f>
        <v>1057.2</v>
      </c>
      <c r="K133" s="360">
        <f>SUM(K129:K132)</f>
        <v>890.50000000000011</v>
      </c>
      <c r="L133" s="361">
        <f>SUM(L129:L132)</f>
        <v>25</v>
      </c>
      <c r="M133" s="359">
        <f>N133+P133</f>
        <v>1300.0999999999999</v>
      </c>
      <c r="N133" s="360">
        <f>SUM(N129:N132)</f>
        <v>1300.0999999999999</v>
      </c>
      <c r="O133" s="360">
        <f>SUM(O129:O132)</f>
        <v>1146.1999999999998</v>
      </c>
      <c r="P133" s="361">
        <f>SUM(P129:P132)</f>
        <v>0</v>
      </c>
      <c r="Q133" s="373">
        <f t="shared" si="73"/>
        <v>1272.3</v>
      </c>
      <c r="R133" s="374">
        <f>R129+R130+R131+R132</f>
        <v>1272.3</v>
      </c>
      <c r="S133" s="360">
        <f>S129+S130+S131+S132</f>
        <v>1119.5999999999999</v>
      </c>
      <c r="T133" s="361">
        <v>0</v>
      </c>
      <c r="U133" s="373">
        <f t="shared" si="74"/>
        <v>1272.3</v>
      </c>
      <c r="V133" s="374">
        <f>V129+V130+V131+V132</f>
        <v>1272.3</v>
      </c>
      <c r="W133" s="360">
        <f>W129+W130+W131+W132</f>
        <v>1119.5999999999999</v>
      </c>
      <c r="X133" s="361">
        <v>0</v>
      </c>
    </row>
    <row r="134" spans="1:59" ht="19.5" customHeight="1" x14ac:dyDescent="0.2">
      <c r="A134" s="2558">
        <v>1</v>
      </c>
      <c r="B134" s="2542">
        <v>1</v>
      </c>
      <c r="C134" s="2531">
        <v>18</v>
      </c>
      <c r="D134" s="2527" t="s">
        <v>87</v>
      </c>
      <c r="E134" s="2623" t="s">
        <v>88</v>
      </c>
      <c r="F134" s="2531" t="s">
        <v>79</v>
      </c>
      <c r="G134" s="2531" t="s">
        <v>89</v>
      </c>
      <c r="H134" s="2088" t="s">
        <v>28</v>
      </c>
      <c r="I134" s="348">
        <f t="shared" si="68"/>
        <v>358.5</v>
      </c>
      <c r="J134" s="349">
        <v>358.5</v>
      </c>
      <c r="K134" s="349">
        <f>336.1+4.3</f>
        <v>340.40000000000003</v>
      </c>
      <c r="L134" s="350">
        <v>0</v>
      </c>
      <c r="M134" s="348">
        <f t="shared" ref="M134:M137" si="76">N134+P134</f>
        <v>449.9</v>
      </c>
      <c r="N134" s="349">
        <v>449.9</v>
      </c>
      <c r="O134" s="349">
        <v>431.7</v>
      </c>
      <c r="P134" s="350">
        <v>0</v>
      </c>
      <c r="Q134" s="348">
        <f t="shared" si="73"/>
        <v>449.9</v>
      </c>
      <c r="R134" s="349">
        <v>449.9</v>
      </c>
      <c r="S134" s="349">
        <v>433.7</v>
      </c>
      <c r="T134" s="350">
        <v>0</v>
      </c>
      <c r="U134" s="348">
        <f t="shared" si="74"/>
        <v>449.9</v>
      </c>
      <c r="V134" s="349">
        <v>449.9</v>
      </c>
      <c r="W134" s="349">
        <v>433.7</v>
      </c>
      <c r="X134" s="350">
        <v>0</v>
      </c>
    </row>
    <row r="135" spans="1:59" s="358" customFormat="1" ht="18" customHeight="1" x14ac:dyDescent="0.2">
      <c r="A135" s="2558"/>
      <c r="B135" s="2545"/>
      <c r="C135" s="2530"/>
      <c r="D135" s="2528"/>
      <c r="E135" s="2622"/>
      <c r="F135" s="2530"/>
      <c r="G135" s="2530"/>
      <c r="H135" s="2093" t="s">
        <v>30</v>
      </c>
      <c r="I135" s="2122">
        <f t="shared" si="68"/>
        <v>823.4</v>
      </c>
      <c r="J135" s="2380">
        <v>807.4</v>
      </c>
      <c r="K135" s="2380">
        <v>708.5</v>
      </c>
      <c r="L135" s="2381">
        <v>16</v>
      </c>
      <c r="M135" s="2122">
        <f t="shared" si="76"/>
        <v>929.3</v>
      </c>
      <c r="N135" s="2079">
        <v>929.3</v>
      </c>
      <c r="O135" s="2079">
        <v>843.2</v>
      </c>
      <c r="P135" s="2080"/>
      <c r="Q135" s="348">
        <f t="shared" si="73"/>
        <v>924.2</v>
      </c>
      <c r="R135" s="2079">
        <v>924.2</v>
      </c>
      <c r="S135" s="2079">
        <v>842.3</v>
      </c>
      <c r="T135" s="2080"/>
      <c r="U135" s="2122">
        <v>924.2</v>
      </c>
      <c r="V135" s="2079">
        <v>924.2</v>
      </c>
      <c r="W135" s="2079">
        <v>842.3</v>
      </c>
      <c r="X135" s="2080"/>
      <c r="Y135" s="339"/>
      <c r="Z135" s="339"/>
      <c r="AA135" s="339"/>
      <c r="AB135" s="339"/>
      <c r="AC135" s="339"/>
      <c r="AD135" s="339"/>
      <c r="AE135" s="339"/>
      <c r="AF135" s="339"/>
      <c r="AG135" s="339"/>
      <c r="AH135" s="339"/>
      <c r="AI135" s="339"/>
      <c r="AJ135" s="339"/>
      <c r="AK135" s="339"/>
      <c r="AL135" s="339"/>
      <c r="AM135" s="339"/>
      <c r="AN135" s="339"/>
      <c r="AO135" s="339"/>
      <c r="AP135" s="339"/>
      <c r="AQ135" s="339"/>
      <c r="AR135" s="339"/>
      <c r="AS135" s="339"/>
      <c r="AT135" s="339"/>
      <c r="AU135" s="339"/>
      <c r="AV135" s="339"/>
      <c r="AW135" s="339"/>
      <c r="AX135" s="339"/>
      <c r="AY135" s="339"/>
      <c r="AZ135" s="339"/>
      <c r="BA135" s="339"/>
      <c r="BB135" s="339"/>
      <c r="BC135" s="339"/>
      <c r="BD135" s="339"/>
      <c r="BE135" s="339"/>
      <c r="BF135" s="339"/>
      <c r="BG135" s="339"/>
    </row>
    <row r="136" spans="1:59" s="358" customFormat="1" ht="15.75" customHeight="1" x14ac:dyDescent="0.2">
      <c r="A136" s="2558"/>
      <c r="B136" s="2545"/>
      <c r="C136" s="2530"/>
      <c r="D136" s="2528"/>
      <c r="E136" s="2622"/>
      <c r="F136" s="2510"/>
      <c r="G136" s="2510"/>
      <c r="H136" s="2093" t="s">
        <v>33</v>
      </c>
      <c r="I136" s="2123">
        <f t="shared" si="68"/>
        <v>0</v>
      </c>
      <c r="J136" s="355"/>
      <c r="K136" s="355"/>
      <c r="L136" s="356"/>
      <c r="M136" s="2123">
        <f t="shared" si="76"/>
        <v>32.4</v>
      </c>
      <c r="N136" s="355">
        <f>1.5+30.9</f>
        <v>32.4</v>
      </c>
      <c r="O136" s="355">
        <f>1.5+30.5</f>
        <v>32</v>
      </c>
      <c r="P136" s="356"/>
      <c r="Q136" s="348">
        <f t="shared" si="73"/>
        <v>0</v>
      </c>
      <c r="R136" s="355"/>
      <c r="S136" s="355"/>
      <c r="T136" s="356"/>
      <c r="U136" s="2123">
        <v>0</v>
      </c>
      <c r="V136" s="355"/>
      <c r="W136" s="355"/>
      <c r="X136" s="356"/>
      <c r="Y136" s="339"/>
      <c r="Z136" s="339"/>
      <c r="AA136" s="339"/>
      <c r="AB136" s="339"/>
      <c r="AC136" s="339"/>
      <c r="AD136" s="339"/>
      <c r="AE136" s="339"/>
      <c r="AF136" s="339"/>
      <c r="AG136" s="339"/>
      <c r="AH136" s="339"/>
      <c r="AI136" s="339"/>
      <c r="AJ136" s="339"/>
      <c r="AK136" s="339"/>
      <c r="AL136" s="339"/>
      <c r="AM136" s="339"/>
      <c r="AN136" s="339"/>
      <c r="AO136" s="339"/>
      <c r="AP136" s="339"/>
      <c r="AQ136" s="339"/>
      <c r="AR136" s="339"/>
      <c r="AS136" s="339"/>
      <c r="AT136" s="339"/>
      <c r="AU136" s="339"/>
      <c r="AV136" s="339"/>
      <c r="AW136" s="339"/>
      <c r="AX136" s="339"/>
      <c r="AY136" s="339"/>
      <c r="AZ136" s="339"/>
      <c r="BA136" s="339"/>
      <c r="BB136" s="339"/>
      <c r="BC136" s="339"/>
      <c r="BD136" s="339"/>
      <c r="BE136" s="339"/>
      <c r="BF136" s="339"/>
      <c r="BG136" s="339"/>
    </row>
    <row r="137" spans="1:59" ht="18" customHeight="1" thickBot="1" x14ac:dyDescent="0.25">
      <c r="A137" s="2558"/>
      <c r="B137" s="2545"/>
      <c r="C137" s="2530"/>
      <c r="D137" s="2528"/>
      <c r="E137" s="2622"/>
      <c r="F137" s="2510"/>
      <c r="G137" s="2510"/>
      <c r="H137" s="2093" t="s">
        <v>34</v>
      </c>
      <c r="I137" s="2123">
        <f>J137+L137</f>
        <v>74.5</v>
      </c>
      <c r="J137" s="355">
        <v>74.5</v>
      </c>
      <c r="K137" s="355">
        <v>13.4</v>
      </c>
      <c r="L137" s="356"/>
      <c r="M137" s="2123">
        <f t="shared" si="76"/>
        <v>90.7</v>
      </c>
      <c r="N137" s="355">
        <v>90.7</v>
      </c>
      <c r="O137" s="355">
        <v>15.2</v>
      </c>
      <c r="P137" s="356"/>
      <c r="Q137" s="372">
        <f t="shared" si="73"/>
        <v>90.7</v>
      </c>
      <c r="R137" s="355">
        <v>90.7</v>
      </c>
      <c r="S137" s="355">
        <v>15.2</v>
      </c>
      <c r="T137" s="356"/>
      <c r="U137" s="2123">
        <f>V137+X137</f>
        <v>90.7</v>
      </c>
      <c r="V137" s="355">
        <v>90.7</v>
      </c>
      <c r="W137" s="355">
        <v>15.2</v>
      </c>
      <c r="X137" s="356"/>
    </row>
    <row r="138" spans="1:59" ht="17.25" customHeight="1" thickBot="1" x14ac:dyDescent="0.25">
      <c r="A138" s="2559"/>
      <c r="B138" s="2545"/>
      <c r="C138" s="2530"/>
      <c r="D138" s="2529"/>
      <c r="E138" s="2622"/>
      <c r="F138" s="2516" t="s">
        <v>35</v>
      </c>
      <c r="G138" s="2517"/>
      <c r="H138" s="2517"/>
      <c r="I138" s="359">
        <f t="shared" si="68"/>
        <v>1256.4000000000001</v>
      </c>
      <c r="J138" s="360">
        <f>SUM(J134:J137)</f>
        <v>1240.4000000000001</v>
      </c>
      <c r="K138" s="360">
        <f>SUM(K134:K137)</f>
        <v>1062.3000000000002</v>
      </c>
      <c r="L138" s="361">
        <f>SUM(L134:L137)</f>
        <v>16</v>
      </c>
      <c r="M138" s="359">
        <f>N138+P138</f>
        <v>1502.3</v>
      </c>
      <c r="N138" s="360">
        <f>N134+N135+N136+N137</f>
        <v>1502.3</v>
      </c>
      <c r="O138" s="360">
        <f>O134+O135+O136+O137</f>
        <v>1322.1000000000001</v>
      </c>
      <c r="P138" s="361">
        <f>SUM(P134:P137)</f>
        <v>0</v>
      </c>
      <c r="Q138" s="373">
        <f t="shared" si="73"/>
        <v>1464.8</v>
      </c>
      <c r="R138" s="374">
        <f>R134+R135+R136+R137</f>
        <v>1464.8</v>
      </c>
      <c r="S138" s="360">
        <f>S134+S135+S136+S137</f>
        <v>1291.2</v>
      </c>
      <c r="T138" s="361">
        <v>0</v>
      </c>
      <c r="U138" s="373">
        <f>V138+X138</f>
        <v>1464.8</v>
      </c>
      <c r="V138" s="374">
        <f>V134+V135+V136+V137</f>
        <v>1464.8</v>
      </c>
      <c r="W138" s="360">
        <f>W134+W135+W136+W137</f>
        <v>1291.2</v>
      </c>
      <c r="X138" s="361">
        <v>0</v>
      </c>
    </row>
    <row r="139" spans="1:59" s="358" customFormat="1" ht="24.75" customHeight="1" x14ac:dyDescent="0.2">
      <c r="A139" s="2557">
        <v>1</v>
      </c>
      <c r="B139" s="2545">
        <v>1</v>
      </c>
      <c r="C139" s="2530">
        <v>19</v>
      </c>
      <c r="D139" s="2527" t="s">
        <v>90</v>
      </c>
      <c r="E139" s="2622" t="s">
        <v>91</v>
      </c>
      <c r="F139" s="2513" t="s">
        <v>79</v>
      </c>
      <c r="G139" s="2513" t="s">
        <v>92</v>
      </c>
      <c r="H139" s="2091" t="s">
        <v>28</v>
      </c>
      <c r="I139" s="348">
        <f t="shared" si="68"/>
        <v>372.8</v>
      </c>
      <c r="J139" s="349">
        <v>372.8</v>
      </c>
      <c r="K139" s="349">
        <v>356.9</v>
      </c>
      <c r="L139" s="350"/>
      <c r="M139" s="348">
        <f t="shared" ref="M139:M143" si="77">N139+P139</f>
        <v>455.5</v>
      </c>
      <c r="N139" s="349">
        <v>455.5</v>
      </c>
      <c r="O139" s="349">
        <v>437.6</v>
      </c>
      <c r="P139" s="350"/>
      <c r="Q139" s="348">
        <f t="shared" si="73"/>
        <v>455.5</v>
      </c>
      <c r="R139" s="349">
        <v>455.5</v>
      </c>
      <c r="S139" s="349">
        <v>439.6</v>
      </c>
      <c r="T139" s="350"/>
      <c r="U139" s="348">
        <f t="shared" ref="U139:U145" si="78">V139+X139</f>
        <v>455.5</v>
      </c>
      <c r="V139" s="349">
        <v>455.5</v>
      </c>
      <c r="W139" s="349">
        <v>439.6</v>
      </c>
      <c r="X139" s="350"/>
      <c r="Y139" s="339"/>
      <c r="Z139" s="339"/>
      <c r="AA139" s="339"/>
      <c r="AB139" s="339"/>
      <c r="AC139" s="339"/>
      <c r="AD139" s="339"/>
      <c r="AE139" s="339"/>
      <c r="AF139" s="339"/>
      <c r="AG139" s="339"/>
      <c r="AH139" s="339"/>
      <c r="AI139" s="339"/>
      <c r="AJ139" s="339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  <c r="BC139" s="339"/>
      <c r="BD139" s="339"/>
      <c r="BE139" s="339"/>
      <c r="BF139" s="339"/>
      <c r="BG139" s="339"/>
    </row>
    <row r="140" spans="1:59" ht="18.75" customHeight="1" x14ac:dyDescent="0.2">
      <c r="A140" s="2558"/>
      <c r="B140" s="2545"/>
      <c r="C140" s="2530"/>
      <c r="D140" s="2528"/>
      <c r="E140" s="2622"/>
      <c r="F140" s="2513"/>
      <c r="G140" s="2513"/>
      <c r="H140" s="2093" t="s">
        <v>30</v>
      </c>
      <c r="I140" s="2122">
        <f t="shared" si="68"/>
        <v>793.30000000000007</v>
      </c>
      <c r="J140" s="2380">
        <v>780.7</v>
      </c>
      <c r="K140" s="2380">
        <v>631.1</v>
      </c>
      <c r="L140" s="2381">
        <v>12.6</v>
      </c>
      <c r="M140" s="2122">
        <f t="shared" si="77"/>
        <v>893.6</v>
      </c>
      <c r="N140" s="1553">
        <v>893.6</v>
      </c>
      <c r="O140" s="2079">
        <v>739.9</v>
      </c>
      <c r="P140" s="2080"/>
      <c r="Q140" s="348">
        <f t="shared" si="73"/>
        <v>904.2</v>
      </c>
      <c r="R140" s="2079">
        <v>904.2</v>
      </c>
      <c r="S140" s="2079">
        <v>750.3</v>
      </c>
      <c r="T140" s="2080"/>
      <c r="U140" s="348">
        <f t="shared" si="78"/>
        <v>904.2</v>
      </c>
      <c r="V140" s="2079">
        <v>904.2</v>
      </c>
      <c r="W140" s="2079">
        <v>750.3</v>
      </c>
      <c r="X140" s="2080"/>
    </row>
    <row r="141" spans="1:59" ht="18.75" customHeight="1" x14ac:dyDescent="0.2">
      <c r="A141" s="2558"/>
      <c r="B141" s="2545"/>
      <c r="C141" s="2530"/>
      <c r="D141" s="2528"/>
      <c r="E141" s="2622"/>
      <c r="F141" s="2513"/>
      <c r="G141" s="2513"/>
      <c r="H141" s="2093" t="s">
        <v>32</v>
      </c>
      <c r="I141" s="2123">
        <f>J141+L141</f>
        <v>0.7</v>
      </c>
      <c r="J141" s="355">
        <v>0.7</v>
      </c>
      <c r="K141" s="355"/>
      <c r="L141" s="356"/>
      <c r="M141" s="2123"/>
      <c r="N141" s="1552"/>
      <c r="O141" s="355"/>
      <c r="P141" s="356"/>
      <c r="Q141" s="348"/>
      <c r="R141" s="355"/>
      <c r="S141" s="355"/>
      <c r="T141" s="356"/>
      <c r="U141" s="348"/>
      <c r="V141" s="355"/>
      <c r="W141" s="355"/>
      <c r="X141" s="356"/>
    </row>
    <row r="142" spans="1:59" s="358" customFormat="1" ht="21" customHeight="1" x14ac:dyDescent="0.2">
      <c r="A142" s="2558"/>
      <c r="B142" s="2545"/>
      <c r="C142" s="2530"/>
      <c r="D142" s="2528"/>
      <c r="E142" s="2622"/>
      <c r="F142" s="2513"/>
      <c r="G142" s="2513"/>
      <c r="H142" s="2093" t="s">
        <v>33</v>
      </c>
      <c r="I142" s="2123">
        <f t="shared" si="68"/>
        <v>0</v>
      </c>
      <c r="J142" s="355"/>
      <c r="K142" s="355"/>
      <c r="L142" s="356"/>
      <c r="M142" s="2123">
        <f t="shared" si="77"/>
        <v>29.8</v>
      </c>
      <c r="N142" s="355">
        <f>1.5+28.3</f>
        <v>29.8</v>
      </c>
      <c r="O142" s="355">
        <f>1.5+27.9</f>
        <v>29.4</v>
      </c>
      <c r="P142" s="356"/>
      <c r="Q142" s="348">
        <f t="shared" si="73"/>
        <v>0</v>
      </c>
      <c r="R142" s="355"/>
      <c r="S142" s="355"/>
      <c r="T142" s="356"/>
      <c r="U142" s="348">
        <f t="shared" si="78"/>
        <v>0</v>
      </c>
      <c r="V142" s="355"/>
      <c r="W142" s="355"/>
      <c r="X142" s="356"/>
      <c r="Y142" s="339"/>
      <c r="Z142" s="339"/>
      <c r="AA142" s="339"/>
      <c r="AB142" s="339"/>
      <c r="AC142" s="339"/>
      <c r="AD142" s="339"/>
      <c r="AE142" s="339"/>
      <c r="AF142" s="339"/>
      <c r="AG142" s="339"/>
      <c r="AH142" s="339"/>
      <c r="AI142" s="339"/>
      <c r="AJ142" s="339"/>
      <c r="AK142" s="339"/>
      <c r="AL142" s="339"/>
      <c r="AM142" s="339"/>
      <c r="AN142" s="339"/>
      <c r="AO142" s="339"/>
      <c r="AP142" s="339"/>
      <c r="AQ142" s="339"/>
      <c r="AR142" s="339"/>
      <c r="AS142" s="339"/>
      <c r="AT142" s="339"/>
      <c r="AU142" s="339"/>
      <c r="AV142" s="339"/>
      <c r="AW142" s="339"/>
      <c r="AX142" s="339"/>
      <c r="AY142" s="339"/>
      <c r="AZ142" s="339"/>
      <c r="BA142" s="339"/>
      <c r="BB142" s="339"/>
      <c r="BC142" s="339"/>
      <c r="BD142" s="339"/>
      <c r="BE142" s="339"/>
      <c r="BF142" s="339"/>
      <c r="BG142" s="339"/>
    </row>
    <row r="143" spans="1:59" ht="21" customHeight="1" thickBot="1" x14ac:dyDescent="0.25">
      <c r="A143" s="2558"/>
      <c r="B143" s="2545"/>
      <c r="C143" s="2530"/>
      <c r="D143" s="2528"/>
      <c r="E143" s="2622"/>
      <c r="F143" s="2513"/>
      <c r="G143" s="2513"/>
      <c r="H143" s="2093" t="s">
        <v>34</v>
      </c>
      <c r="I143" s="2123">
        <f>J143+L143</f>
        <v>81</v>
      </c>
      <c r="J143" s="366">
        <v>81</v>
      </c>
      <c r="K143" s="355">
        <v>16.899999999999999</v>
      </c>
      <c r="L143" s="356"/>
      <c r="M143" s="2123">
        <f t="shared" si="77"/>
        <v>105.4</v>
      </c>
      <c r="N143" s="355">
        <v>105.4</v>
      </c>
      <c r="O143" s="355">
        <v>17.8</v>
      </c>
      <c r="P143" s="356"/>
      <c r="Q143" s="372">
        <f t="shared" si="73"/>
        <v>105.4</v>
      </c>
      <c r="R143" s="355">
        <v>105.4</v>
      </c>
      <c r="S143" s="355">
        <v>17.8</v>
      </c>
      <c r="T143" s="356"/>
      <c r="U143" s="372">
        <f t="shared" si="78"/>
        <v>105.4</v>
      </c>
      <c r="V143" s="355">
        <v>105.4</v>
      </c>
      <c r="W143" s="355">
        <v>17.8</v>
      </c>
      <c r="X143" s="356"/>
    </row>
    <row r="144" spans="1:59" ht="19.5" customHeight="1" thickBot="1" x14ac:dyDescent="0.25">
      <c r="A144" s="2559"/>
      <c r="B144" s="2545"/>
      <c r="C144" s="2530"/>
      <c r="D144" s="2529"/>
      <c r="E144" s="2622"/>
      <c r="F144" s="2516" t="s">
        <v>35</v>
      </c>
      <c r="G144" s="2517"/>
      <c r="H144" s="2517"/>
      <c r="I144" s="359">
        <f t="shared" si="68"/>
        <v>1247.8</v>
      </c>
      <c r="J144" s="360">
        <f>SUM(J139:J143)</f>
        <v>1235.2</v>
      </c>
      <c r="K144" s="360">
        <f>SUM(K139:K143)</f>
        <v>1004.9</v>
      </c>
      <c r="L144" s="361">
        <f>SUM(L139:L143)</f>
        <v>12.6</v>
      </c>
      <c r="M144" s="359">
        <f>N144+P144</f>
        <v>1484.3</v>
      </c>
      <c r="N144" s="360">
        <f>SUM(N139:N143)</f>
        <v>1484.3</v>
      </c>
      <c r="O144" s="360">
        <f>SUM(O139:O143)</f>
        <v>1224.7</v>
      </c>
      <c r="P144" s="361">
        <f>SUM(P139:P143)</f>
        <v>0</v>
      </c>
      <c r="Q144" s="373">
        <f t="shared" si="73"/>
        <v>1465.1000000000001</v>
      </c>
      <c r="R144" s="374">
        <f>R139+R140+R142+R143</f>
        <v>1465.1000000000001</v>
      </c>
      <c r="S144" s="360">
        <f>S139+S140+S142+S143</f>
        <v>1207.7</v>
      </c>
      <c r="T144" s="361">
        <v>0</v>
      </c>
      <c r="U144" s="373">
        <f t="shared" si="78"/>
        <v>1465.1000000000001</v>
      </c>
      <c r="V144" s="374">
        <f>V139+V140+V142+V143</f>
        <v>1465.1000000000001</v>
      </c>
      <c r="W144" s="360">
        <f>W139+W140+W142+W143</f>
        <v>1207.7</v>
      </c>
      <c r="X144" s="361">
        <v>0</v>
      </c>
    </row>
    <row r="145" spans="1:24" ht="18" customHeight="1" x14ac:dyDescent="0.2">
      <c r="A145" s="2557">
        <v>1</v>
      </c>
      <c r="B145" s="2545">
        <v>1</v>
      </c>
      <c r="C145" s="2530">
        <v>20</v>
      </c>
      <c r="D145" s="2527" t="s">
        <v>93</v>
      </c>
      <c r="E145" s="2622" t="s">
        <v>94</v>
      </c>
      <c r="F145" s="2513" t="s">
        <v>95</v>
      </c>
      <c r="G145" s="2513" t="s">
        <v>96</v>
      </c>
      <c r="H145" s="2091" t="s">
        <v>28</v>
      </c>
      <c r="I145" s="348">
        <f>J145+L145</f>
        <v>358.2</v>
      </c>
      <c r="J145" s="349">
        <v>358.2</v>
      </c>
      <c r="K145" s="349">
        <f>331.3+9.3</f>
        <v>340.6</v>
      </c>
      <c r="L145" s="350"/>
      <c r="M145" s="348">
        <f t="shared" ref="M145" si="79">N145+P145</f>
        <v>450.2</v>
      </c>
      <c r="N145" s="349">
        <v>450.2</v>
      </c>
      <c r="O145" s="349">
        <v>431.3</v>
      </c>
      <c r="P145" s="350"/>
      <c r="Q145" s="348">
        <f t="shared" si="73"/>
        <v>450.2</v>
      </c>
      <c r="R145" s="349">
        <v>450.2</v>
      </c>
      <c r="S145" s="349">
        <v>432.7</v>
      </c>
      <c r="T145" s="350"/>
      <c r="U145" s="348">
        <f t="shared" si="78"/>
        <v>450.2</v>
      </c>
      <c r="V145" s="349">
        <v>450.2</v>
      </c>
      <c r="W145" s="349">
        <v>432.7</v>
      </c>
      <c r="X145" s="350"/>
    </row>
    <row r="146" spans="1:24" ht="26.25" customHeight="1" x14ac:dyDescent="0.2">
      <c r="A146" s="2558"/>
      <c r="B146" s="2545"/>
      <c r="C146" s="2530"/>
      <c r="D146" s="2528"/>
      <c r="E146" s="2622"/>
      <c r="F146" s="2513"/>
      <c r="G146" s="2513"/>
      <c r="H146" s="375" t="s">
        <v>29</v>
      </c>
      <c r="I146" s="348">
        <v>2.2999999999999998</v>
      </c>
      <c r="J146" s="349">
        <v>2.2999999999999998</v>
      </c>
      <c r="K146" s="349"/>
      <c r="L146" s="350"/>
      <c r="M146" s="348"/>
      <c r="N146" s="349"/>
      <c r="O146" s="349"/>
      <c r="P146" s="350"/>
      <c r="Q146" s="348"/>
      <c r="R146" s="349"/>
      <c r="S146" s="349"/>
      <c r="T146" s="350"/>
      <c r="U146" s="348"/>
      <c r="V146" s="349"/>
      <c r="W146" s="349"/>
      <c r="X146" s="350"/>
    </row>
    <row r="147" spans="1:24" ht="26.25" customHeight="1" x14ac:dyDescent="0.2">
      <c r="A147" s="2558"/>
      <c r="B147" s="2545"/>
      <c r="C147" s="2530"/>
      <c r="D147" s="2528"/>
      <c r="E147" s="2622"/>
      <c r="F147" s="2513"/>
      <c r="G147" s="2513"/>
      <c r="H147" s="375" t="s">
        <v>33</v>
      </c>
      <c r="I147" s="348">
        <f>J147+L147</f>
        <v>1.7</v>
      </c>
      <c r="J147" s="349">
        <v>1.7</v>
      </c>
      <c r="K147" s="349"/>
      <c r="L147" s="350"/>
      <c r="M147" s="348">
        <f>N147+P147</f>
        <v>1.5</v>
      </c>
      <c r="N147" s="349">
        <v>1.5</v>
      </c>
      <c r="O147" s="349">
        <v>1.5</v>
      </c>
      <c r="P147" s="350"/>
      <c r="Q147" s="348">
        <f t="shared" ref="Q147:Q151" si="80">R147+T147</f>
        <v>0</v>
      </c>
      <c r="R147" s="349"/>
      <c r="S147" s="349"/>
      <c r="T147" s="350"/>
      <c r="U147" s="348">
        <f t="shared" ref="U147:U151" si="81">V147+X147</f>
        <v>0</v>
      </c>
      <c r="V147" s="349"/>
      <c r="W147" s="349"/>
      <c r="X147" s="350"/>
    </row>
    <row r="148" spans="1:24" ht="26.25" customHeight="1" x14ac:dyDescent="0.2">
      <c r="A148" s="2558"/>
      <c r="B148" s="2545"/>
      <c r="C148" s="2530"/>
      <c r="D148" s="2528"/>
      <c r="E148" s="2622"/>
      <c r="F148" s="2513"/>
      <c r="G148" s="2513"/>
      <c r="H148" s="375" t="s">
        <v>31</v>
      </c>
      <c r="I148" s="348">
        <f>J148+L148</f>
        <v>1.2</v>
      </c>
      <c r="J148" s="349">
        <v>1.2</v>
      </c>
      <c r="K148" s="349">
        <v>1.2</v>
      </c>
      <c r="L148" s="350"/>
      <c r="M148" s="348"/>
      <c r="N148" s="349"/>
      <c r="O148" s="349"/>
      <c r="P148" s="350"/>
      <c r="Q148" s="348">
        <f t="shared" si="80"/>
        <v>0</v>
      </c>
      <c r="R148" s="349"/>
      <c r="S148" s="349"/>
      <c r="T148" s="350"/>
      <c r="U148" s="348">
        <f t="shared" si="81"/>
        <v>0</v>
      </c>
      <c r="V148" s="349"/>
      <c r="W148" s="349"/>
      <c r="X148" s="350"/>
    </row>
    <row r="149" spans="1:24" ht="11.25" x14ac:dyDescent="0.2">
      <c r="A149" s="2558"/>
      <c r="B149" s="2545"/>
      <c r="C149" s="2530"/>
      <c r="D149" s="2528"/>
      <c r="E149" s="2622"/>
      <c r="F149" s="2513"/>
      <c r="G149" s="2513"/>
      <c r="H149" s="2093" t="s">
        <v>30</v>
      </c>
      <c r="I149" s="2122">
        <f t="shared" ref="I149:I150" si="82">J149+L149</f>
        <v>527</v>
      </c>
      <c r="J149" s="2380">
        <v>523.70000000000005</v>
      </c>
      <c r="K149" s="2380">
        <v>401.7</v>
      </c>
      <c r="L149" s="2381">
        <v>3.3</v>
      </c>
      <c r="M149" s="2122">
        <f t="shared" ref="M149:M162" si="83">N149+P149</f>
        <v>565.4</v>
      </c>
      <c r="N149" s="2079">
        <v>565.4</v>
      </c>
      <c r="O149" s="2079">
        <v>450</v>
      </c>
      <c r="P149" s="2080"/>
      <c r="Q149" s="348">
        <f t="shared" si="80"/>
        <v>587.6</v>
      </c>
      <c r="R149" s="2079">
        <v>587.6</v>
      </c>
      <c r="S149" s="2079">
        <v>471.9</v>
      </c>
      <c r="T149" s="2080"/>
      <c r="U149" s="348">
        <f t="shared" si="81"/>
        <v>587.6</v>
      </c>
      <c r="V149" s="2079">
        <v>587.6</v>
      </c>
      <c r="W149" s="2079">
        <v>471.9</v>
      </c>
      <c r="X149" s="2080"/>
    </row>
    <row r="150" spans="1:24" ht="12" thickBot="1" x14ac:dyDescent="0.25">
      <c r="A150" s="2558"/>
      <c r="B150" s="2545"/>
      <c r="C150" s="2530"/>
      <c r="D150" s="2528"/>
      <c r="E150" s="2622"/>
      <c r="F150" s="2513"/>
      <c r="G150" s="2513"/>
      <c r="H150" s="2093" t="s">
        <v>34</v>
      </c>
      <c r="I150" s="2123">
        <f t="shared" si="82"/>
        <v>35.6</v>
      </c>
      <c r="J150" s="355">
        <v>35.6</v>
      </c>
      <c r="K150" s="355">
        <v>5.9</v>
      </c>
      <c r="L150" s="356"/>
      <c r="M150" s="2123">
        <f t="shared" si="83"/>
        <v>52</v>
      </c>
      <c r="N150" s="355">
        <v>52</v>
      </c>
      <c r="O150" s="355">
        <v>8.3000000000000007</v>
      </c>
      <c r="P150" s="356"/>
      <c r="Q150" s="372">
        <f t="shared" si="80"/>
        <v>52</v>
      </c>
      <c r="R150" s="355">
        <v>52</v>
      </c>
      <c r="S150" s="355">
        <v>8.3000000000000007</v>
      </c>
      <c r="T150" s="356"/>
      <c r="U150" s="372">
        <f t="shared" si="81"/>
        <v>52</v>
      </c>
      <c r="V150" s="355">
        <v>52</v>
      </c>
      <c r="W150" s="355">
        <v>8.3000000000000007</v>
      </c>
      <c r="X150" s="356"/>
    </row>
    <row r="151" spans="1:24" ht="24" customHeight="1" thickBot="1" x14ac:dyDescent="0.25">
      <c r="A151" s="2559"/>
      <c r="B151" s="2545"/>
      <c r="C151" s="2530"/>
      <c r="D151" s="2529"/>
      <c r="E151" s="2622"/>
      <c r="F151" s="2516" t="s">
        <v>35</v>
      </c>
      <c r="G151" s="2584"/>
      <c r="H151" s="2584"/>
      <c r="I151" s="359">
        <f>J151+L151</f>
        <v>926</v>
      </c>
      <c r="J151" s="360">
        <f>SUM(J145:J150)</f>
        <v>922.7</v>
      </c>
      <c r="K151" s="360">
        <f>SUM(K145:K150)</f>
        <v>749.4</v>
      </c>
      <c r="L151" s="361">
        <f>SUM(L145:L150)</f>
        <v>3.3</v>
      </c>
      <c r="M151" s="359">
        <f t="shared" si="83"/>
        <v>1069.0999999999999</v>
      </c>
      <c r="N151" s="360">
        <f>SUM(N145:N150)</f>
        <v>1069.0999999999999</v>
      </c>
      <c r="O151" s="360">
        <f>SUM(O145:O150)</f>
        <v>891.09999999999991</v>
      </c>
      <c r="P151" s="361">
        <f>SUM(P145:P150)</f>
        <v>0</v>
      </c>
      <c r="Q151" s="373">
        <f t="shared" si="80"/>
        <v>1089.8</v>
      </c>
      <c r="R151" s="374">
        <f>R145+R146+R147+R148+R149+R150</f>
        <v>1089.8</v>
      </c>
      <c r="S151" s="360">
        <f>S145+S146+S147+S148+S149+S150</f>
        <v>912.89999999999986</v>
      </c>
      <c r="T151" s="361">
        <v>0</v>
      </c>
      <c r="U151" s="373">
        <f t="shared" si="81"/>
        <v>1089.8</v>
      </c>
      <c r="V151" s="374">
        <f>V145+V146+V147+V148+V149+V150</f>
        <v>1089.8</v>
      </c>
      <c r="W151" s="360">
        <f>W145+W146+W147+W150+W148+W149</f>
        <v>912.9</v>
      </c>
      <c r="X151" s="361">
        <v>0</v>
      </c>
    </row>
    <row r="152" spans="1:24" ht="15.6" customHeight="1" x14ac:dyDescent="0.2">
      <c r="A152" s="2557">
        <v>1</v>
      </c>
      <c r="B152" s="2545">
        <v>1</v>
      </c>
      <c r="C152" s="2530">
        <v>21</v>
      </c>
      <c r="D152" s="2521" t="s">
        <v>97</v>
      </c>
      <c r="E152" s="2621">
        <v>6</v>
      </c>
      <c r="F152" s="2499" t="s">
        <v>79</v>
      </c>
      <c r="G152" s="2547" t="s">
        <v>98</v>
      </c>
      <c r="H152" s="376" t="s">
        <v>30</v>
      </c>
      <c r="I152" s="348">
        <f>J152+L152</f>
        <v>900.9</v>
      </c>
      <c r="J152" s="349">
        <v>900.9</v>
      </c>
      <c r="K152" s="377">
        <v>0</v>
      </c>
      <c r="L152" s="350">
        <v>0</v>
      </c>
      <c r="M152" s="348">
        <f t="shared" si="83"/>
        <v>0</v>
      </c>
      <c r="N152" s="1551"/>
      <c r="O152" s="1551">
        <v>0</v>
      </c>
      <c r="P152" s="350">
        <v>0</v>
      </c>
      <c r="Q152" s="348">
        <v>2080</v>
      </c>
      <c r="R152" s="349">
        <v>2080</v>
      </c>
      <c r="S152" s="349">
        <v>0</v>
      </c>
      <c r="T152" s="350">
        <v>0</v>
      </c>
      <c r="U152" s="348">
        <v>2080</v>
      </c>
      <c r="V152" s="349">
        <v>2080</v>
      </c>
      <c r="W152" s="349">
        <v>0</v>
      </c>
      <c r="X152" s="350">
        <v>0</v>
      </c>
    </row>
    <row r="153" spans="1:24" ht="22.5" customHeight="1" x14ac:dyDescent="0.2">
      <c r="A153" s="2558"/>
      <c r="B153" s="2545"/>
      <c r="C153" s="2530"/>
      <c r="D153" s="2602"/>
      <c r="E153" s="2621"/>
      <c r="F153" s="2499"/>
      <c r="G153" s="2544"/>
      <c r="H153" s="2101" t="s">
        <v>99</v>
      </c>
      <c r="I153" s="378">
        <f t="shared" ref="I153:I154" si="84">J153+L153</f>
        <v>220</v>
      </c>
      <c r="J153" s="379">
        <v>220</v>
      </c>
      <c r="K153" s="379"/>
      <c r="L153" s="356"/>
      <c r="M153" s="348">
        <f t="shared" si="83"/>
        <v>0</v>
      </c>
      <c r="N153" s="1552"/>
      <c r="O153" s="1552"/>
      <c r="P153" s="356"/>
      <c r="Q153" s="2123"/>
      <c r="R153" s="380"/>
      <c r="S153" s="2079"/>
      <c r="T153" s="2080"/>
      <c r="U153" s="2123"/>
      <c r="V153" s="380"/>
      <c r="W153" s="2079"/>
      <c r="X153" s="2080"/>
    </row>
    <row r="154" spans="1:24" ht="14.45" customHeight="1" x14ac:dyDescent="0.2">
      <c r="A154" s="2558"/>
      <c r="B154" s="2545"/>
      <c r="C154" s="2530"/>
      <c r="D154" s="2602"/>
      <c r="E154" s="2621"/>
      <c r="F154" s="2499"/>
      <c r="G154" s="2544"/>
      <c r="H154" s="2116" t="s">
        <v>32</v>
      </c>
      <c r="I154" s="381">
        <f t="shared" si="84"/>
        <v>242</v>
      </c>
      <c r="J154" s="382">
        <v>242</v>
      </c>
      <c r="K154" s="382"/>
      <c r="L154" s="2381"/>
      <c r="M154" s="348">
        <f t="shared" si="83"/>
        <v>2080</v>
      </c>
      <c r="N154" s="1553">
        <v>2080</v>
      </c>
      <c r="O154" s="1553"/>
      <c r="P154" s="2080"/>
      <c r="Q154" s="2122"/>
      <c r="R154" s="2079"/>
      <c r="S154" s="2079"/>
      <c r="T154" s="2080"/>
      <c r="U154" s="2122"/>
      <c r="V154" s="2079"/>
      <c r="W154" s="2079"/>
      <c r="X154" s="2080"/>
    </row>
    <row r="155" spans="1:24" ht="14.45" customHeight="1" thickBot="1" x14ac:dyDescent="0.25">
      <c r="A155" s="2558"/>
      <c r="B155" s="2545"/>
      <c r="C155" s="2530"/>
      <c r="D155" s="2602"/>
      <c r="E155" s="2621"/>
      <c r="F155" s="2499"/>
      <c r="G155" s="2610"/>
      <c r="H155" s="2113" t="s">
        <v>28</v>
      </c>
      <c r="I155" s="372">
        <f>J155+L155</f>
        <v>177.60000000000002</v>
      </c>
      <c r="J155" s="380">
        <f>64.2+113.4</f>
        <v>177.60000000000002</v>
      </c>
      <c r="K155" s="380"/>
      <c r="L155" s="383"/>
      <c r="M155" s="372">
        <f t="shared" si="83"/>
        <v>456.1</v>
      </c>
      <c r="N155" s="1554">
        <v>456.1</v>
      </c>
      <c r="O155" s="1554"/>
      <c r="P155" s="383"/>
      <c r="Q155" s="372">
        <f>R155+T155</f>
        <v>456.1</v>
      </c>
      <c r="R155" s="380">
        <v>456.1</v>
      </c>
      <c r="S155" s="380"/>
      <c r="T155" s="383"/>
      <c r="U155" s="372">
        <f>V155+X155</f>
        <v>456.1</v>
      </c>
      <c r="V155" s="380">
        <v>456.1</v>
      </c>
      <c r="W155" s="380"/>
      <c r="X155" s="383"/>
    </row>
    <row r="156" spans="1:24" ht="14.45" customHeight="1" thickBot="1" x14ac:dyDescent="0.25">
      <c r="A156" s="2559"/>
      <c r="B156" s="2545"/>
      <c r="C156" s="2530"/>
      <c r="D156" s="2522"/>
      <c r="E156" s="2621"/>
      <c r="F156" s="2516" t="s">
        <v>35</v>
      </c>
      <c r="G156" s="2611"/>
      <c r="H156" s="2611"/>
      <c r="I156" s="359">
        <f t="shared" ref="I156:I162" si="85">J156+L156</f>
        <v>1540.5</v>
      </c>
      <c r="J156" s="360">
        <f>SUM(J152:J155)</f>
        <v>1540.5</v>
      </c>
      <c r="K156" s="360">
        <v>0</v>
      </c>
      <c r="L156" s="361">
        <v>0</v>
      </c>
      <c r="M156" s="359">
        <f t="shared" si="83"/>
        <v>2536.1</v>
      </c>
      <c r="N156" s="360">
        <f>N152+N154+N155</f>
        <v>2536.1</v>
      </c>
      <c r="O156" s="360">
        <v>0</v>
      </c>
      <c r="P156" s="361">
        <v>0</v>
      </c>
      <c r="Q156" s="359">
        <f>R156+T156</f>
        <v>2536.1</v>
      </c>
      <c r="R156" s="360">
        <f>R152+R153+R154+R155</f>
        <v>2536.1</v>
      </c>
      <c r="S156" s="360">
        <v>0</v>
      </c>
      <c r="T156" s="361">
        <v>0</v>
      </c>
      <c r="U156" s="359">
        <f>V156+X156</f>
        <v>2536.1</v>
      </c>
      <c r="V156" s="360">
        <f>V152+V153+V154+V155</f>
        <v>2536.1</v>
      </c>
      <c r="W156" s="360">
        <v>0</v>
      </c>
      <c r="X156" s="361">
        <v>0</v>
      </c>
    </row>
    <row r="157" spans="1:24" ht="18.600000000000001" customHeight="1" x14ac:dyDescent="0.2">
      <c r="A157" s="2558">
        <v>1</v>
      </c>
      <c r="B157" s="2540">
        <v>1</v>
      </c>
      <c r="C157" s="2612">
        <v>22</v>
      </c>
      <c r="D157" s="2503" t="s">
        <v>100</v>
      </c>
      <c r="E157" s="2615">
        <v>6</v>
      </c>
      <c r="F157" s="2547" t="s">
        <v>101</v>
      </c>
      <c r="G157" s="2618" t="s">
        <v>102</v>
      </c>
      <c r="H157" s="2093" t="s">
        <v>33</v>
      </c>
      <c r="I157" s="2123"/>
      <c r="J157" s="355">
        <v>0</v>
      </c>
      <c r="K157" s="355"/>
      <c r="L157" s="356"/>
      <c r="M157" s="2123">
        <f t="shared" si="83"/>
        <v>0</v>
      </c>
      <c r="N157" s="355"/>
      <c r="O157" s="355"/>
      <c r="P157" s="356"/>
      <c r="Q157" s="2123">
        <v>0</v>
      </c>
      <c r="R157" s="355"/>
      <c r="S157" s="355"/>
      <c r="T157" s="356"/>
      <c r="U157" s="2123">
        <v>0</v>
      </c>
      <c r="V157" s="355"/>
      <c r="W157" s="355"/>
      <c r="X157" s="356"/>
    </row>
    <row r="158" spans="1:24" ht="18.600000000000001" customHeight="1" x14ac:dyDescent="0.2">
      <c r="A158" s="2558"/>
      <c r="B158" s="2541"/>
      <c r="C158" s="2613"/>
      <c r="D158" s="2504"/>
      <c r="E158" s="2616"/>
      <c r="F158" s="2544"/>
      <c r="G158" s="2619"/>
      <c r="H158" s="2093" t="s">
        <v>30</v>
      </c>
      <c r="I158" s="378"/>
      <c r="J158" s="379">
        <v>0</v>
      </c>
      <c r="K158" s="355"/>
      <c r="L158" s="356"/>
      <c r="M158" s="2123"/>
      <c r="N158" s="355"/>
      <c r="O158" s="355"/>
      <c r="P158" s="356"/>
      <c r="Q158" s="2123"/>
      <c r="R158" s="355"/>
      <c r="S158" s="355"/>
      <c r="T158" s="356"/>
      <c r="U158" s="2123"/>
      <c r="V158" s="355"/>
      <c r="W158" s="355"/>
      <c r="X158" s="356"/>
    </row>
    <row r="159" spans="1:24" ht="18.600000000000001" customHeight="1" thickBot="1" x14ac:dyDescent="0.25">
      <c r="A159" s="2558"/>
      <c r="B159" s="2541"/>
      <c r="C159" s="2613"/>
      <c r="D159" s="2504"/>
      <c r="E159" s="2616"/>
      <c r="F159" s="2610"/>
      <c r="G159" s="2620"/>
      <c r="H159" s="2093" t="s">
        <v>28</v>
      </c>
      <c r="I159" s="2123"/>
      <c r="J159" s="355">
        <v>0</v>
      </c>
      <c r="K159" s="355"/>
      <c r="L159" s="356"/>
      <c r="M159" s="2123">
        <v>123.1</v>
      </c>
      <c r="N159" s="355">
        <v>123.1</v>
      </c>
      <c r="O159" s="355"/>
      <c r="P159" s="356"/>
      <c r="Q159" s="2123">
        <f>R159+T159</f>
        <v>123.1</v>
      </c>
      <c r="R159" s="355">
        <v>123.1</v>
      </c>
      <c r="S159" s="355"/>
      <c r="T159" s="356"/>
      <c r="U159" s="2123">
        <f>V159+X159</f>
        <v>123.1</v>
      </c>
      <c r="V159" s="355">
        <v>123.1</v>
      </c>
      <c r="W159" s="355"/>
      <c r="X159" s="356"/>
    </row>
    <row r="160" spans="1:24" ht="18.600000000000001" customHeight="1" thickBot="1" x14ac:dyDescent="0.25">
      <c r="A160" s="2559"/>
      <c r="B160" s="2542"/>
      <c r="C160" s="2614"/>
      <c r="D160" s="2505"/>
      <c r="E160" s="2617"/>
      <c r="F160" s="2516" t="s">
        <v>35</v>
      </c>
      <c r="G160" s="2517"/>
      <c r="H160" s="2517"/>
      <c r="I160" s="359">
        <f t="shared" si="85"/>
        <v>0</v>
      </c>
      <c r="J160" s="360">
        <f>SUM(J157:J159)</f>
        <v>0</v>
      </c>
      <c r="K160" s="360">
        <f t="shared" ref="K160:L160" si="86">SUM(K157:K159)</f>
        <v>0</v>
      </c>
      <c r="L160" s="360">
        <f t="shared" si="86"/>
        <v>0</v>
      </c>
      <c r="M160" s="359">
        <f t="shared" si="83"/>
        <v>123.1</v>
      </c>
      <c r="N160" s="360">
        <f>SUM(N157:N159)</f>
        <v>123.1</v>
      </c>
      <c r="O160" s="360">
        <f t="shared" ref="O160:P160" si="87">SUM(O157:O159)</f>
        <v>0</v>
      </c>
      <c r="P160" s="360">
        <f t="shared" si="87"/>
        <v>0</v>
      </c>
      <c r="Q160" s="359">
        <f>R160+T160</f>
        <v>123.1</v>
      </c>
      <c r="R160" s="360">
        <f>R157+R158+R159</f>
        <v>123.1</v>
      </c>
      <c r="S160" s="360">
        <v>0</v>
      </c>
      <c r="T160" s="360">
        <v>0</v>
      </c>
      <c r="U160" s="359">
        <f>V160+X160</f>
        <v>123.1</v>
      </c>
      <c r="V160" s="360">
        <f>V157+V158+V159</f>
        <v>123.1</v>
      </c>
      <c r="W160" s="360">
        <v>0</v>
      </c>
      <c r="X160" s="361">
        <v>0</v>
      </c>
    </row>
    <row r="161" spans="1:59" ht="33.75" customHeight="1" thickBot="1" x14ac:dyDescent="0.25">
      <c r="A161" s="2585">
        <v>1</v>
      </c>
      <c r="B161" s="2545">
        <v>1</v>
      </c>
      <c r="C161" s="2510">
        <v>23</v>
      </c>
      <c r="D161" s="2527" t="s">
        <v>103</v>
      </c>
      <c r="E161" s="2535" t="s">
        <v>104</v>
      </c>
      <c r="F161" s="2098" t="s">
        <v>105</v>
      </c>
      <c r="G161" s="2098" t="s">
        <v>106</v>
      </c>
      <c r="H161" s="2099" t="s">
        <v>30</v>
      </c>
      <c r="I161" s="384">
        <f t="shared" si="85"/>
        <v>8</v>
      </c>
      <c r="J161" s="385">
        <v>8</v>
      </c>
      <c r="K161" s="385"/>
      <c r="L161" s="386"/>
      <c r="M161" s="384">
        <f t="shared" si="83"/>
        <v>9</v>
      </c>
      <c r="N161" s="385">
        <v>9</v>
      </c>
      <c r="O161" s="385"/>
      <c r="P161" s="386"/>
      <c r="Q161" s="384">
        <v>9</v>
      </c>
      <c r="R161" s="385">
        <v>9</v>
      </c>
      <c r="S161" s="385"/>
      <c r="T161" s="386"/>
      <c r="U161" s="384">
        <v>9</v>
      </c>
      <c r="V161" s="385">
        <v>9</v>
      </c>
      <c r="W161" s="385"/>
      <c r="X161" s="386"/>
    </row>
    <row r="162" spans="1:59" ht="29.25" customHeight="1" thickBot="1" x14ac:dyDescent="0.25">
      <c r="A162" s="2585"/>
      <c r="B162" s="2540"/>
      <c r="C162" s="2513"/>
      <c r="D162" s="2529"/>
      <c r="E162" s="2524"/>
      <c r="F162" s="2507" t="s">
        <v>107</v>
      </c>
      <c r="G162" s="2508"/>
      <c r="H162" s="2607"/>
      <c r="I162" s="363">
        <f t="shared" si="85"/>
        <v>8</v>
      </c>
      <c r="J162" s="387">
        <f>J161</f>
        <v>8</v>
      </c>
      <c r="K162" s="387"/>
      <c r="L162" s="388"/>
      <c r="M162" s="363">
        <f t="shared" si="83"/>
        <v>9</v>
      </c>
      <c r="N162" s="387">
        <f>N161</f>
        <v>9</v>
      </c>
      <c r="O162" s="387"/>
      <c r="P162" s="388"/>
      <c r="Q162" s="363">
        <v>9</v>
      </c>
      <c r="R162" s="387">
        <v>9</v>
      </c>
      <c r="S162" s="387"/>
      <c r="T162" s="388"/>
      <c r="U162" s="363">
        <v>9</v>
      </c>
      <c r="V162" s="387">
        <v>9</v>
      </c>
      <c r="W162" s="387"/>
      <c r="X162" s="388"/>
    </row>
    <row r="163" spans="1:59" ht="20.25" customHeight="1" x14ac:dyDescent="0.2">
      <c r="A163" s="2557">
        <v>1</v>
      </c>
      <c r="B163" s="2540">
        <v>1</v>
      </c>
      <c r="C163" s="2510">
        <v>24</v>
      </c>
      <c r="D163" s="2503" t="s">
        <v>108</v>
      </c>
      <c r="E163" s="2608" t="s">
        <v>104</v>
      </c>
      <c r="F163" s="2572" t="s">
        <v>109</v>
      </c>
      <c r="G163" s="2531" t="s">
        <v>110</v>
      </c>
      <c r="H163" s="2100" t="s">
        <v>30</v>
      </c>
      <c r="I163" s="389">
        <f>J163+L163</f>
        <v>13.5</v>
      </c>
      <c r="J163" s="377">
        <v>5.0999999999999996</v>
      </c>
      <c r="K163" s="377"/>
      <c r="L163" s="390">
        <v>8.4</v>
      </c>
      <c r="M163" s="389"/>
      <c r="N163" s="377"/>
      <c r="O163" s="377"/>
      <c r="P163" s="390"/>
      <c r="Q163" s="389"/>
      <c r="R163" s="377"/>
      <c r="S163" s="377"/>
      <c r="T163" s="390"/>
      <c r="U163" s="389"/>
      <c r="V163" s="377"/>
      <c r="W163" s="377"/>
      <c r="X163" s="390"/>
    </row>
    <row r="164" spans="1:59" ht="18" customHeight="1" x14ac:dyDescent="0.2">
      <c r="A164" s="2558"/>
      <c r="B164" s="2541"/>
      <c r="C164" s="2513"/>
      <c r="D164" s="2504"/>
      <c r="E164" s="2595"/>
      <c r="F164" s="2561"/>
      <c r="G164" s="2530"/>
      <c r="H164" s="2116" t="s">
        <v>33</v>
      </c>
      <c r="I164" s="381"/>
      <c r="J164" s="382"/>
      <c r="K164" s="382"/>
      <c r="L164" s="368"/>
      <c r="M164" s="381"/>
      <c r="N164" s="382"/>
      <c r="O164" s="382"/>
      <c r="P164" s="368"/>
      <c r="Q164" s="381"/>
      <c r="R164" s="382"/>
      <c r="S164" s="382"/>
      <c r="T164" s="368"/>
      <c r="U164" s="381"/>
      <c r="V164" s="382"/>
      <c r="W164" s="382"/>
      <c r="X164" s="368"/>
    </row>
    <row r="165" spans="1:59" s="358" customFormat="1" ht="18.75" customHeight="1" x14ac:dyDescent="0.2">
      <c r="A165" s="2558"/>
      <c r="B165" s="2541"/>
      <c r="C165" s="2513"/>
      <c r="D165" s="2504"/>
      <c r="E165" s="2595"/>
      <c r="F165" s="2561"/>
      <c r="G165" s="2530"/>
      <c r="H165" s="2116" t="s">
        <v>111</v>
      </c>
      <c r="I165" s="2122">
        <f>J165+L165</f>
        <v>12.2</v>
      </c>
      <c r="J165" s="2380">
        <v>12.2</v>
      </c>
      <c r="K165" s="2380"/>
      <c r="L165" s="368"/>
      <c r="M165" s="381">
        <f>N165+P165</f>
        <v>4.7</v>
      </c>
      <c r="N165" s="382">
        <v>4.7</v>
      </c>
      <c r="O165" s="382"/>
      <c r="P165" s="368"/>
      <c r="Q165" s="381"/>
      <c r="R165" s="382"/>
      <c r="S165" s="382"/>
      <c r="T165" s="368"/>
      <c r="U165" s="381"/>
      <c r="V165" s="382"/>
      <c r="W165" s="382"/>
      <c r="X165" s="368"/>
      <c r="Y165" s="339"/>
      <c r="Z165" s="339"/>
      <c r="AA165" s="339"/>
      <c r="AB165" s="339"/>
      <c r="AC165" s="339"/>
      <c r="AD165" s="339"/>
      <c r="AE165" s="339"/>
      <c r="AF165" s="339"/>
      <c r="AG165" s="339"/>
      <c r="AH165" s="339"/>
      <c r="AI165" s="339"/>
      <c r="AJ165" s="339"/>
      <c r="AK165" s="339"/>
      <c r="AL165" s="339"/>
      <c r="AM165" s="339"/>
      <c r="AN165" s="339"/>
      <c r="AO165" s="339"/>
      <c r="AP165" s="339"/>
      <c r="AQ165" s="339"/>
      <c r="AR165" s="339"/>
      <c r="AS165" s="339"/>
      <c r="AT165" s="339"/>
      <c r="AU165" s="339"/>
      <c r="AV165" s="339"/>
      <c r="AW165" s="339"/>
      <c r="AX165" s="339"/>
      <c r="AY165" s="339"/>
      <c r="AZ165" s="339"/>
      <c r="BA165" s="339"/>
      <c r="BB165" s="339"/>
      <c r="BC165" s="339"/>
      <c r="BD165" s="339"/>
      <c r="BE165" s="339"/>
      <c r="BF165" s="339"/>
      <c r="BG165" s="339"/>
    </row>
    <row r="166" spans="1:59" ht="21" customHeight="1" thickBot="1" x14ac:dyDescent="0.25">
      <c r="A166" s="2558"/>
      <c r="B166" s="2541"/>
      <c r="C166" s="2513"/>
      <c r="D166" s="2504"/>
      <c r="E166" s="2595"/>
      <c r="F166" s="2571"/>
      <c r="G166" s="2510"/>
      <c r="H166" s="2101" t="s">
        <v>112</v>
      </c>
      <c r="I166" s="2123">
        <f>J166+L166</f>
        <v>1.2</v>
      </c>
      <c r="J166" s="355">
        <v>1.2</v>
      </c>
      <c r="K166" s="355"/>
      <c r="L166" s="391"/>
      <c r="M166" s="378">
        <f>N166+P166</f>
        <v>0.4</v>
      </c>
      <c r="N166" s="379">
        <v>0.4</v>
      </c>
      <c r="O166" s="379">
        <v>0</v>
      </c>
      <c r="P166" s="391"/>
      <c r="Q166" s="378">
        <v>0</v>
      </c>
      <c r="R166" s="379">
        <v>0</v>
      </c>
      <c r="S166" s="379">
        <v>0</v>
      </c>
      <c r="T166" s="391"/>
      <c r="U166" s="378">
        <v>0</v>
      </c>
      <c r="V166" s="379">
        <v>0</v>
      </c>
      <c r="W166" s="379">
        <v>0</v>
      </c>
      <c r="X166" s="391"/>
    </row>
    <row r="167" spans="1:59" ht="24" customHeight="1" thickBot="1" x14ac:dyDescent="0.25">
      <c r="A167" s="2559"/>
      <c r="B167" s="2542"/>
      <c r="C167" s="2531"/>
      <c r="D167" s="2505"/>
      <c r="E167" s="2609"/>
      <c r="F167" s="2472" t="s">
        <v>107</v>
      </c>
      <c r="G167" s="2473"/>
      <c r="H167" s="2473"/>
      <c r="I167" s="363">
        <f t="shared" ref="I167" si="88">I163+I165+I164+I166</f>
        <v>26.9</v>
      </c>
      <c r="J167" s="392">
        <f>J163+J165+J164+J166</f>
        <v>18.499999999999996</v>
      </c>
      <c r="K167" s="387">
        <f t="shared" ref="K167:L167" si="89">K163+K165+K164+K166</f>
        <v>0</v>
      </c>
      <c r="L167" s="388">
        <f t="shared" si="89"/>
        <v>8.4</v>
      </c>
      <c r="M167" s="363">
        <f>M163+M164+M165+M166</f>
        <v>5.1000000000000005</v>
      </c>
      <c r="N167" s="387">
        <f>N163+N165+N164+N166</f>
        <v>5.1000000000000005</v>
      </c>
      <c r="O167" s="387">
        <f t="shared" ref="O167:P167" si="90">O163+O165+O164+O166</f>
        <v>0</v>
      </c>
      <c r="P167" s="388">
        <f t="shared" si="90"/>
        <v>0</v>
      </c>
      <c r="Q167" s="363">
        <v>0</v>
      </c>
      <c r="R167" s="387">
        <v>0</v>
      </c>
      <c r="S167" s="387">
        <v>0</v>
      </c>
      <c r="T167" s="388">
        <v>0</v>
      </c>
      <c r="U167" s="363">
        <v>0</v>
      </c>
      <c r="V167" s="387">
        <v>0</v>
      </c>
      <c r="W167" s="387">
        <v>0</v>
      </c>
      <c r="X167" s="388">
        <v>0</v>
      </c>
    </row>
    <row r="168" spans="1:59" ht="18.75" customHeight="1" x14ac:dyDescent="0.2">
      <c r="A168" s="2557">
        <v>1</v>
      </c>
      <c r="B168" s="2540">
        <v>1</v>
      </c>
      <c r="C168" s="2510">
        <v>24</v>
      </c>
      <c r="D168" s="2495" t="s">
        <v>113</v>
      </c>
      <c r="E168" s="2608" t="s">
        <v>114</v>
      </c>
      <c r="F168" s="2572" t="s">
        <v>109</v>
      </c>
      <c r="G168" s="2572" t="s">
        <v>115</v>
      </c>
      <c r="H168" s="2100" t="s">
        <v>30</v>
      </c>
      <c r="I168" s="393">
        <f>J168+L168</f>
        <v>1.5</v>
      </c>
      <c r="J168" s="394">
        <v>0.8</v>
      </c>
      <c r="K168" s="394">
        <v>0.8</v>
      </c>
      <c r="L168" s="395">
        <v>0.7</v>
      </c>
      <c r="M168" s="389">
        <f t="shared" ref="M168:M175" si="91">N168+P168</f>
        <v>126.6</v>
      </c>
      <c r="N168" s="377"/>
      <c r="O168" s="377"/>
      <c r="P168" s="1555">
        <v>126.6</v>
      </c>
      <c r="Q168" s="389"/>
      <c r="R168" s="377"/>
      <c r="S168" s="377"/>
      <c r="T168" s="390"/>
      <c r="U168" s="389"/>
      <c r="V168" s="377"/>
      <c r="W168" s="377"/>
      <c r="X168" s="390"/>
    </row>
    <row r="169" spans="1:59" ht="19.5" customHeight="1" x14ac:dyDescent="0.2">
      <c r="A169" s="2558"/>
      <c r="B169" s="2541"/>
      <c r="C169" s="2513"/>
      <c r="D169" s="2496"/>
      <c r="E169" s="2595"/>
      <c r="F169" s="2572"/>
      <c r="G169" s="2572"/>
      <c r="H169" s="2116" t="s">
        <v>116</v>
      </c>
      <c r="I169" s="393">
        <f t="shared" ref="I169:I176" si="92">J169+L169</f>
        <v>0</v>
      </c>
      <c r="J169" s="370"/>
      <c r="K169" s="370"/>
      <c r="L169" s="371"/>
      <c r="M169" s="381">
        <f t="shared" si="91"/>
        <v>287.7</v>
      </c>
      <c r="N169" s="396"/>
      <c r="O169" s="396"/>
      <c r="P169" s="1556">
        <v>287.7</v>
      </c>
      <c r="Q169" s="381">
        <v>0</v>
      </c>
      <c r="R169" s="382"/>
      <c r="S169" s="382"/>
      <c r="T169" s="368"/>
      <c r="U169" s="381">
        <v>0</v>
      </c>
      <c r="V169" s="382"/>
      <c r="W169" s="382"/>
      <c r="X169" s="368"/>
    </row>
    <row r="170" spans="1:59" ht="21" customHeight="1" x14ac:dyDescent="0.2">
      <c r="A170" s="2558"/>
      <c r="B170" s="2541"/>
      <c r="C170" s="2513"/>
      <c r="D170" s="2496"/>
      <c r="E170" s="2595"/>
      <c r="F170" s="2561"/>
      <c r="G170" s="2561"/>
      <c r="H170" s="2116" t="s">
        <v>112</v>
      </c>
      <c r="I170" s="393"/>
      <c r="J170" s="370"/>
      <c r="K170" s="370"/>
      <c r="L170" s="371"/>
      <c r="M170" s="381">
        <f t="shared" si="91"/>
        <v>16.899999999999999</v>
      </c>
      <c r="N170" s="379"/>
      <c r="O170" s="379"/>
      <c r="P170" s="391">
        <v>16.899999999999999</v>
      </c>
      <c r="Q170" s="381"/>
      <c r="R170" s="382"/>
      <c r="S170" s="382"/>
      <c r="T170" s="368"/>
      <c r="U170" s="381"/>
      <c r="V170" s="382"/>
      <c r="W170" s="382"/>
      <c r="X170" s="368"/>
    </row>
    <row r="171" spans="1:59" s="358" customFormat="1" ht="18" customHeight="1" thickBot="1" x14ac:dyDescent="0.25">
      <c r="A171" s="2558"/>
      <c r="B171" s="2541"/>
      <c r="C171" s="2513"/>
      <c r="D171" s="2496"/>
      <c r="E171" s="2595"/>
      <c r="F171" s="2571"/>
      <c r="G171" s="2571"/>
      <c r="H171" s="2101" t="s">
        <v>111</v>
      </c>
      <c r="I171" s="393">
        <f t="shared" si="92"/>
        <v>0</v>
      </c>
      <c r="J171" s="398"/>
      <c r="K171" s="398"/>
      <c r="L171" s="399"/>
      <c r="M171" s="381">
        <f t="shared" si="91"/>
        <v>190.8</v>
      </c>
      <c r="N171" s="379">
        <v>0</v>
      </c>
      <c r="O171" s="379">
        <v>0</v>
      </c>
      <c r="P171" s="391">
        <v>190.8</v>
      </c>
      <c r="Q171" s="378"/>
      <c r="R171" s="379">
        <v>0</v>
      </c>
      <c r="S171" s="379">
        <v>0</v>
      </c>
      <c r="T171" s="391"/>
      <c r="U171" s="378"/>
      <c r="V171" s="379">
        <v>0</v>
      </c>
      <c r="W171" s="379">
        <v>0</v>
      </c>
      <c r="X171" s="391"/>
      <c r="Y171" s="339"/>
      <c r="Z171" s="339"/>
      <c r="AA171" s="339"/>
      <c r="AB171" s="339"/>
      <c r="AC171" s="339"/>
      <c r="AD171" s="339"/>
      <c r="AE171" s="339"/>
      <c r="AF171" s="339"/>
      <c r="AG171" s="339"/>
      <c r="AH171" s="339"/>
      <c r="AI171" s="339"/>
      <c r="AJ171" s="339"/>
      <c r="AK171" s="339"/>
      <c r="AL171" s="339"/>
      <c r="AM171" s="339"/>
      <c r="AN171" s="339"/>
      <c r="AO171" s="339"/>
      <c r="AP171" s="339"/>
      <c r="AQ171" s="339"/>
      <c r="AR171" s="339"/>
      <c r="AS171" s="339"/>
      <c r="AT171" s="339"/>
      <c r="AU171" s="339"/>
      <c r="AV171" s="339"/>
      <c r="AW171" s="339"/>
      <c r="AX171" s="339"/>
      <c r="AY171" s="339"/>
      <c r="AZ171" s="339"/>
      <c r="BA171" s="339"/>
      <c r="BB171" s="339"/>
      <c r="BC171" s="339"/>
      <c r="BD171" s="339"/>
      <c r="BE171" s="339"/>
      <c r="BF171" s="339"/>
      <c r="BG171" s="339"/>
    </row>
    <row r="172" spans="1:59" ht="22.5" customHeight="1" thickBot="1" x14ac:dyDescent="0.25">
      <c r="A172" s="2559"/>
      <c r="B172" s="2542"/>
      <c r="C172" s="2531"/>
      <c r="D172" s="2497"/>
      <c r="E172" s="2609"/>
      <c r="F172" s="2472" t="s">
        <v>107</v>
      </c>
      <c r="G172" s="2473"/>
      <c r="H172" s="2473"/>
      <c r="I172" s="363">
        <f t="shared" si="92"/>
        <v>1.5</v>
      </c>
      <c r="J172" s="387">
        <f>J168+J170+J171</f>
        <v>0.8</v>
      </c>
      <c r="K172" s="387">
        <f>K168+K170+K171</f>
        <v>0.8</v>
      </c>
      <c r="L172" s="388">
        <f>SUM(L168:L171)</f>
        <v>0.7</v>
      </c>
      <c r="M172" s="363">
        <f t="shared" si="91"/>
        <v>622</v>
      </c>
      <c r="N172" s="387">
        <f>N168+N170+N171</f>
        <v>0</v>
      </c>
      <c r="O172" s="387">
        <f>O168+O170+O171</f>
        <v>0</v>
      </c>
      <c r="P172" s="388">
        <f>SUM(P168:P171)</f>
        <v>622</v>
      </c>
      <c r="Q172" s="363"/>
      <c r="R172" s="387">
        <v>0</v>
      </c>
      <c r="S172" s="387">
        <v>0</v>
      </c>
      <c r="T172" s="388"/>
      <c r="U172" s="363"/>
      <c r="V172" s="387">
        <v>0</v>
      </c>
      <c r="W172" s="387">
        <v>0</v>
      </c>
      <c r="X172" s="388"/>
    </row>
    <row r="173" spans="1:59" ht="21.75" customHeight="1" x14ac:dyDescent="0.2">
      <c r="A173" s="2557">
        <v>1</v>
      </c>
      <c r="B173" s="2540">
        <v>1</v>
      </c>
      <c r="C173" s="2510">
        <v>26</v>
      </c>
      <c r="D173" s="2495" t="s">
        <v>117</v>
      </c>
      <c r="E173" s="2608" t="s">
        <v>114</v>
      </c>
      <c r="F173" s="2572" t="s">
        <v>109</v>
      </c>
      <c r="G173" s="2572" t="s">
        <v>118</v>
      </c>
      <c r="H173" s="2100" t="s">
        <v>30</v>
      </c>
      <c r="I173" s="389">
        <f>J173+L173</f>
        <v>28.5</v>
      </c>
      <c r="J173" s="377">
        <v>0.1</v>
      </c>
      <c r="K173" s="377"/>
      <c r="L173" s="390">
        <v>28.4</v>
      </c>
      <c r="M173" s="389">
        <f t="shared" si="91"/>
        <v>226.5</v>
      </c>
      <c r="N173" s="377">
        <v>9.6</v>
      </c>
      <c r="O173" s="377">
        <v>1.6</v>
      </c>
      <c r="P173" s="390">
        <v>216.9</v>
      </c>
      <c r="Q173" s="389"/>
      <c r="R173" s="377"/>
      <c r="S173" s="377"/>
      <c r="T173" s="390"/>
      <c r="U173" s="389"/>
      <c r="V173" s="377"/>
      <c r="W173" s="377"/>
      <c r="X173" s="390"/>
    </row>
    <row r="174" spans="1:59" ht="20.25" customHeight="1" x14ac:dyDescent="0.2">
      <c r="A174" s="2558"/>
      <c r="B174" s="2541"/>
      <c r="C174" s="2513"/>
      <c r="D174" s="2496"/>
      <c r="E174" s="2595"/>
      <c r="F174" s="2572"/>
      <c r="G174" s="2572"/>
      <c r="H174" s="2116" t="s">
        <v>112</v>
      </c>
      <c r="I174" s="381"/>
      <c r="J174" s="382"/>
      <c r="K174" s="382"/>
      <c r="L174" s="368"/>
      <c r="M174" s="381">
        <f t="shared" si="91"/>
        <v>28.700000000000003</v>
      </c>
      <c r="N174" s="382">
        <v>9.9</v>
      </c>
      <c r="O174" s="382">
        <v>0.3</v>
      </c>
      <c r="P174" s="368">
        <v>18.8</v>
      </c>
      <c r="Q174" s="381"/>
      <c r="R174" s="382"/>
      <c r="S174" s="382"/>
      <c r="T174" s="368"/>
      <c r="U174" s="381"/>
      <c r="V174" s="382"/>
      <c r="W174" s="382"/>
      <c r="X174" s="368"/>
    </row>
    <row r="175" spans="1:59" ht="23.25" customHeight="1" thickBot="1" x14ac:dyDescent="0.25">
      <c r="A175" s="2558"/>
      <c r="B175" s="2541"/>
      <c r="C175" s="2513"/>
      <c r="D175" s="2496"/>
      <c r="E175" s="2595"/>
      <c r="F175" s="2571"/>
      <c r="G175" s="2571"/>
      <c r="H175" s="2101" t="s">
        <v>111</v>
      </c>
      <c r="I175" s="378"/>
      <c r="J175" s="379"/>
      <c r="K175" s="379"/>
      <c r="L175" s="391"/>
      <c r="M175" s="378">
        <f t="shared" si="91"/>
        <v>315.3</v>
      </c>
      <c r="N175" s="379">
        <v>110.3</v>
      </c>
      <c r="O175" s="379">
        <v>2.8</v>
      </c>
      <c r="P175" s="391">
        <v>205</v>
      </c>
      <c r="Q175" s="378"/>
      <c r="R175" s="379"/>
      <c r="S175" s="379"/>
      <c r="T175" s="391"/>
      <c r="U175" s="378"/>
      <c r="V175" s="379"/>
      <c r="W175" s="379"/>
      <c r="X175" s="391"/>
    </row>
    <row r="176" spans="1:59" ht="23.25" customHeight="1" thickBot="1" x14ac:dyDescent="0.25">
      <c r="A176" s="2559"/>
      <c r="B176" s="2542"/>
      <c r="C176" s="2531"/>
      <c r="D176" s="2497"/>
      <c r="E176" s="2609"/>
      <c r="F176" s="2472" t="s">
        <v>107</v>
      </c>
      <c r="G176" s="2473"/>
      <c r="H176" s="2473"/>
      <c r="I176" s="363">
        <f t="shared" si="92"/>
        <v>28.5</v>
      </c>
      <c r="J176" s="387">
        <f>J173+J175+J174</f>
        <v>0.1</v>
      </c>
      <c r="K176" s="387">
        <f>K173+K175+K174</f>
        <v>0</v>
      </c>
      <c r="L176" s="388">
        <f>SUM(L173:L175)</f>
        <v>28.4</v>
      </c>
      <c r="M176" s="363">
        <f>N176+P176</f>
        <v>570.5</v>
      </c>
      <c r="N176" s="387">
        <f>N173+N174+N175</f>
        <v>129.80000000000001</v>
      </c>
      <c r="O176" s="387">
        <f>O173+O174+O175</f>
        <v>4.7</v>
      </c>
      <c r="P176" s="388">
        <f>P173+P174+P175</f>
        <v>440.70000000000005</v>
      </c>
      <c r="Q176" s="363">
        <f>R176+T176</f>
        <v>0</v>
      </c>
      <c r="R176" s="387">
        <f>R173+R174+R175</f>
        <v>0</v>
      </c>
      <c r="S176" s="387">
        <f>S173+S174+S175</f>
        <v>0</v>
      </c>
      <c r="T176" s="388">
        <f>T173+T174+T175</f>
        <v>0</v>
      </c>
      <c r="U176" s="363"/>
      <c r="V176" s="387"/>
      <c r="W176" s="387"/>
      <c r="X176" s="388"/>
    </row>
    <row r="177" spans="1:24" ht="29.25" customHeight="1" x14ac:dyDescent="0.2">
      <c r="A177" s="2585">
        <v>1</v>
      </c>
      <c r="B177" s="2545">
        <v>1</v>
      </c>
      <c r="C177" s="2530">
        <v>27</v>
      </c>
      <c r="D177" s="2503" t="s">
        <v>119</v>
      </c>
      <c r="E177" s="2530">
        <v>11</v>
      </c>
      <c r="F177" s="2556" t="s">
        <v>109</v>
      </c>
      <c r="G177" s="2556" t="s">
        <v>120</v>
      </c>
      <c r="H177" s="2100" t="s">
        <v>30</v>
      </c>
      <c r="I177" s="348">
        <f>J177+L177</f>
        <v>30.3</v>
      </c>
      <c r="J177" s="349">
        <v>30.3</v>
      </c>
      <c r="K177" s="377"/>
      <c r="L177" s="390"/>
      <c r="M177" s="389">
        <f>N177+P177</f>
        <v>42.6</v>
      </c>
      <c r="N177" s="377">
        <v>42.6</v>
      </c>
      <c r="O177" s="377"/>
      <c r="P177" s="390"/>
      <c r="Q177" s="389"/>
      <c r="R177" s="377"/>
      <c r="S177" s="377"/>
      <c r="T177" s="390"/>
      <c r="U177" s="389"/>
      <c r="V177" s="377"/>
      <c r="W177" s="377"/>
      <c r="X177" s="390"/>
    </row>
    <row r="178" spans="1:24" ht="21" customHeight="1" thickBot="1" x14ac:dyDescent="0.25">
      <c r="A178" s="2585"/>
      <c r="B178" s="2545"/>
      <c r="C178" s="2530"/>
      <c r="D178" s="2504"/>
      <c r="E178" s="2535"/>
      <c r="F178" s="2556"/>
      <c r="G178" s="2556"/>
      <c r="H178" s="2099" t="s">
        <v>111</v>
      </c>
      <c r="I178" s="378">
        <f>J178+L178</f>
        <v>163.1</v>
      </c>
      <c r="J178" s="379">
        <v>163.1</v>
      </c>
      <c r="K178" s="379"/>
      <c r="L178" s="391"/>
      <c r="M178" s="378">
        <f>N178+P178</f>
        <v>235.4</v>
      </c>
      <c r="N178" s="379">
        <v>235.4</v>
      </c>
      <c r="O178" s="379"/>
      <c r="P178" s="391"/>
      <c r="Q178" s="378"/>
      <c r="R178" s="379"/>
      <c r="S178" s="379"/>
      <c r="T178" s="391"/>
      <c r="U178" s="378"/>
      <c r="V178" s="379"/>
      <c r="W178" s="379"/>
      <c r="X178" s="391"/>
    </row>
    <row r="179" spans="1:24" ht="26.25" customHeight="1" thickBot="1" x14ac:dyDescent="0.25">
      <c r="A179" s="2557"/>
      <c r="B179" s="2540"/>
      <c r="C179" s="2510"/>
      <c r="D179" s="2505"/>
      <c r="E179" s="2524"/>
      <c r="F179" s="2507" t="s">
        <v>107</v>
      </c>
      <c r="G179" s="2508"/>
      <c r="H179" s="2607"/>
      <c r="I179" s="363">
        <f>I177+I178</f>
        <v>193.4</v>
      </c>
      <c r="J179" s="387">
        <f>J177+J178</f>
        <v>193.4</v>
      </c>
      <c r="K179" s="387">
        <f>K177+K178</f>
        <v>0</v>
      </c>
      <c r="L179" s="388"/>
      <c r="M179" s="363">
        <f>N179+P179</f>
        <v>278</v>
      </c>
      <c r="N179" s="387">
        <f>SUM(N177:N178)</f>
        <v>278</v>
      </c>
      <c r="O179" s="387">
        <f>O177+O178</f>
        <v>0</v>
      </c>
      <c r="P179" s="388"/>
      <c r="Q179" s="363"/>
      <c r="R179" s="387"/>
      <c r="S179" s="387">
        <v>0</v>
      </c>
      <c r="T179" s="388"/>
      <c r="U179" s="363"/>
      <c r="V179" s="387"/>
      <c r="W179" s="387">
        <v>0</v>
      </c>
      <c r="X179" s="388"/>
    </row>
    <row r="180" spans="1:24" ht="23.25" customHeight="1" x14ac:dyDescent="0.2">
      <c r="A180" s="2585">
        <v>1</v>
      </c>
      <c r="B180" s="2545">
        <v>1</v>
      </c>
      <c r="C180" s="2530">
        <v>28</v>
      </c>
      <c r="D180" s="2527" t="s">
        <v>121</v>
      </c>
      <c r="E180" s="2604" t="s">
        <v>122</v>
      </c>
      <c r="F180" s="2606" t="s">
        <v>123</v>
      </c>
      <c r="G180" s="2512" t="s">
        <v>124</v>
      </c>
      <c r="H180" s="2091" t="s">
        <v>28</v>
      </c>
      <c r="I180" s="348">
        <f>J180+L180</f>
        <v>126.4</v>
      </c>
      <c r="J180" s="349">
        <v>126.4</v>
      </c>
      <c r="K180" s="349">
        <v>121</v>
      </c>
      <c r="L180" s="350"/>
      <c r="M180" s="348">
        <f>N180+P180</f>
        <v>176.5</v>
      </c>
      <c r="N180" s="349">
        <v>176.5</v>
      </c>
      <c r="O180" s="349">
        <v>173.5</v>
      </c>
      <c r="P180" s="350">
        <v>0</v>
      </c>
      <c r="Q180" s="389">
        <f>R180+T180</f>
        <v>176.5</v>
      </c>
      <c r="R180" s="377">
        <v>176.5</v>
      </c>
      <c r="S180" s="377">
        <v>174</v>
      </c>
      <c r="T180" s="390">
        <v>0</v>
      </c>
      <c r="U180" s="389">
        <f>V180+X180</f>
        <v>176.5</v>
      </c>
      <c r="V180" s="377">
        <v>176.5</v>
      </c>
      <c r="W180" s="377">
        <v>174</v>
      </c>
      <c r="X180" s="390">
        <v>0</v>
      </c>
    </row>
    <row r="181" spans="1:24" s="400" customFormat="1" ht="33.75" x14ac:dyDescent="0.2">
      <c r="A181" s="2585"/>
      <c r="B181" s="2545"/>
      <c r="C181" s="2530"/>
      <c r="D181" s="2528"/>
      <c r="E181" s="2604"/>
      <c r="F181" s="2606"/>
      <c r="G181" s="2512"/>
      <c r="H181" s="2088" t="s">
        <v>31</v>
      </c>
      <c r="I181" s="372"/>
      <c r="J181" s="380"/>
      <c r="K181" s="380"/>
      <c r="L181" s="383"/>
      <c r="M181" s="372"/>
      <c r="N181" s="380"/>
      <c r="O181" s="380"/>
      <c r="P181" s="383"/>
      <c r="Q181" s="384"/>
      <c r="R181" s="385"/>
      <c r="S181" s="385"/>
      <c r="T181" s="386"/>
      <c r="U181" s="384"/>
      <c r="V181" s="385"/>
      <c r="W181" s="385"/>
      <c r="X181" s="386"/>
    </row>
    <row r="182" spans="1:24" ht="20.25" customHeight="1" thickBot="1" x14ac:dyDescent="0.25">
      <c r="A182" s="2585"/>
      <c r="B182" s="2545"/>
      <c r="C182" s="2530"/>
      <c r="D182" s="2528"/>
      <c r="E182" s="2604"/>
      <c r="F182" s="2606"/>
      <c r="G182" s="2512"/>
      <c r="H182" s="2093" t="s">
        <v>30</v>
      </c>
      <c r="I182" s="2123">
        <f>J182+L182</f>
        <v>123.4</v>
      </c>
      <c r="J182" s="355">
        <v>123.4</v>
      </c>
      <c r="K182" s="355">
        <v>109.7</v>
      </c>
      <c r="L182" s="356">
        <v>0</v>
      </c>
      <c r="M182" s="2123">
        <f t="shared" ref="M182:M187" si="93">N182+P182</f>
        <v>133</v>
      </c>
      <c r="N182" s="355">
        <v>133</v>
      </c>
      <c r="O182" s="355">
        <v>118.6</v>
      </c>
      <c r="P182" s="356">
        <v>0</v>
      </c>
      <c r="Q182" s="378">
        <v>133</v>
      </c>
      <c r="R182" s="379">
        <v>133</v>
      </c>
      <c r="S182" s="379">
        <v>118.6</v>
      </c>
      <c r="T182" s="391">
        <v>0</v>
      </c>
      <c r="U182" s="378">
        <v>133</v>
      </c>
      <c r="V182" s="379">
        <v>133</v>
      </c>
      <c r="W182" s="379">
        <v>118.6</v>
      </c>
      <c r="X182" s="391">
        <v>0</v>
      </c>
    </row>
    <row r="183" spans="1:24" ht="23.25" customHeight="1" thickBot="1" x14ac:dyDescent="0.25">
      <c r="A183" s="2585"/>
      <c r="B183" s="2545"/>
      <c r="C183" s="2530"/>
      <c r="D183" s="2529"/>
      <c r="E183" s="2605"/>
      <c r="F183" s="2516" t="s">
        <v>35</v>
      </c>
      <c r="G183" s="2517"/>
      <c r="H183" s="2518"/>
      <c r="I183" s="362">
        <f t="shared" ref="I183:L183" si="94">SUM(I180:I182)</f>
        <v>249.8</v>
      </c>
      <c r="J183" s="360">
        <f t="shared" si="94"/>
        <v>249.8</v>
      </c>
      <c r="K183" s="360">
        <f t="shared" si="94"/>
        <v>230.7</v>
      </c>
      <c r="L183" s="361">
        <f t="shared" si="94"/>
        <v>0</v>
      </c>
      <c r="M183" s="359">
        <f t="shared" si="93"/>
        <v>309.5</v>
      </c>
      <c r="N183" s="360">
        <f>SUM(N180:N182)</f>
        <v>309.5</v>
      </c>
      <c r="O183" s="360">
        <f>SUM(O180:O182)</f>
        <v>292.10000000000002</v>
      </c>
      <c r="P183" s="361">
        <f>SUM(P180:P182)</f>
        <v>0</v>
      </c>
      <c r="Q183" s="363">
        <f>R183+T183</f>
        <v>309.5</v>
      </c>
      <c r="R183" s="387">
        <f>R180+R181+R182</f>
        <v>309.5</v>
      </c>
      <c r="S183" s="387">
        <f>S180+S181+S182</f>
        <v>292.60000000000002</v>
      </c>
      <c r="T183" s="388">
        <f>T180+T181+T182</f>
        <v>0</v>
      </c>
      <c r="U183" s="363">
        <f>V183+X183</f>
        <v>309.5</v>
      </c>
      <c r="V183" s="387">
        <f>V180+V181+V182</f>
        <v>309.5</v>
      </c>
      <c r="W183" s="387">
        <f>W180+W181+W182</f>
        <v>292.60000000000002</v>
      </c>
      <c r="X183" s="388">
        <f>X180+X181+X182</f>
        <v>0</v>
      </c>
    </row>
    <row r="184" spans="1:24" ht="21.75" customHeight="1" x14ac:dyDescent="0.2">
      <c r="A184" s="2558">
        <v>1</v>
      </c>
      <c r="B184" s="2599">
        <v>1</v>
      </c>
      <c r="C184" s="2601">
        <v>29</v>
      </c>
      <c r="D184" s="2521" t="s">
        <v>125</v>
      </c>
      <c r="E184" s="2530">
        <v>9</v>
      </c>
      <c r="F184" s="2513" t="s">
        <v>126</v>
      </c>
      <c r="G184" s="2513" t="s">
        <v>127</v>
      </c>
      <c r="H184" s="364" t="s">
        <v>30</v>
      </c>
      <c r="I184" s="393">
        <f>J184+L184</f>
        <v>69.2</v>
      </c>
      <c r="J184" s="394">
        <f>100-90.8+60</f>
        <v>69.2</v>
      </c>
      <c r="K184" s="349">
        <v>0</v>
      </c>
      <c r="L184" s="350">
        <v>0</v>
      </c>
      <c r="M184" s="348">
        <f t="shared" si="93"/>
        <v>112</v>
      </c>
      <c r="N184" s="1551">
        <v>112</v>
      </c>
      <c r="O184" s="349">
        <v>0</v>
      </c>
      <c r="P184" s="350">
        <v>0</v>
      </c>
      <c r="Q184" s="348">
        <f>R184+T184</f>
        <v>412</v>
      </c>
      <c r="R184" s="349">
        <v>412</v>
      </c>
      <c r="S184" s="349">
        <v>0</v>
      </c>
      <c r="T184" s="350">
        <v>0</v>
      </c>
      <c r="U184" s="389">
        <v>412</v>
      </c>
      <c r="V184" s="377">
        <v>412</v>
      </c>
      <c r="W184" s="349">
        <v>0</v>
      </c>
      <c r="X184" s="350">
        <v>0</v>
      </c>
    </row>
    <row r="185" spans="1:24" ht="21.75" customHeight="1" thickBot="1" x14ac:dyDescent="0.25">
      <c r="A185" s="2558"/>
      <c r="B185" s="2599"/>
      <c r="C185" s="2601"/>
      <c r="D185" s="2602"/>
      <c r="E185" s="2603"/>
      <c r="F185" s="2513"/>
      <c r="G185" s="2513"/>
      <c r="H185" s="401" t="s">
        <v>32</v>
      </c>
      <c r="I185" s="378">
        <f>J185+L185</f>
        <v>230.8</v>
      </c>
      <c r="J185" s="379">
        <f>200+90.8-60</f>
        <v>230.8</v>
      </c>
      <c r="K185" s="355"/>
      <c r="L185" s="356"/>
      <c r="M185" s="348">
        <f t="shared" si="93"/>
        <v>300</v>
      </c>
      <c r="N185" s="1552">
        <v>300</v>
      </c>
      <c r="O185" s="355"/>
      <c r="P185" s="356"/>
      <c r="Q185" s="2123"/>
      <c r="R185" s="355"/>
      <c r="S185" s="355"/>
      <c r="T185" s="356"/>
      <c r="U185" s="2123"/>
      <c r="V185" s="355"/>
      <c r="W185" s="355"/>
      <c r="X185" s="356"/>
    </row>
    <row r="186" spans="1:24" ht="21.75" customHeight="1" thickBot="1" x14ac:dyDescent="0.25">
      <c r="A186" s="2559"/>
      <c r="B186" s="2600"/>
      <c r="C186" s="2573"/>
      <c r="D186" s="2522"/>
      <c r="E186" s="2603"/>
      <c r="F186" s="2516" t="s">
        <v>35</v>
      </c>
      <c r="G186" s="2517"/>
      <c r="H186" s="2518"/>
      <c r="I186" s="359">
        <f>J186+L186</f>
        <v>300</v>
      </c>
      <c r="J186" s="360">
        <f>J184+J185</f>
        <v>300</v>
      </c>
      <c r="K186" s="360">
        <f>K184</f>
        <v>0</v>
      </c>
      <c r="L186" s="361">
        <f>L184</f>
        <v>0</v>
      </c>
      <c r="M186" s="359">
        <f t="shared" si="93"/>
        <v>412</v>
      </c>
      <c r="N186" s="360">
        <f>N185+N184</f>
        <v>412</v>
      </c>
      <c r="O186" s="360">
        <f>O184</f>
        <v>0</v>
      </c>
      <c r="P186" s="361">
        <f>P184</f>
        <v>0</v>
      </c>
      <c r="Q186" s="359">
        <f>R186+T186</f>
        <v>412</v>
      </c>
      <c r="R186" s="360">
        <f>R184</f>
        <v>412</v>
      </c>
      <c r="S186" s="360">
        <f>S184</f>
        <v>0</v>
      </c>
      <c r="T186" s="361">
        <f>T184</f>
        <v>0</v>
      </c>
      <c r="U186" s="359">
        <f>V186+X186</f>
        <v>412</v>
      </c>
      <c r="V186" s="360">
        <f>V184</f>
        <v>412</v>
      </c>
      <c r="W186" s="360">
        <f>W184</f>
        <v>0</v>
      </c>
      <c r="X186" s="361">
        <f>X184</f>
        <v>0</v>
      </c>
    </row>
    <row r="187" spans="1:24" ht="43.5" customHeight="1" thickBot="1" x14ac:dyDescent="0.25">
      <c r="A187" s="2557">
        <v>1</v>
      </c>
      <c r="B187" s="2540">
        <v>1</v>
      </c>
      <c r="C187" s="2510">
        <v>30</v>
      </c>
      <c r="D187" s="2527" t="s">
        <v>128</v>
      </c>
      <c r="E187" s="2511">
        <v>9</v>
      </c>
      <c r="F187" s="2098" t="s">
        <v>129</v>
      </c>
      <c r="G187" s="2098" t="s">
        <v>130</v>
      </c>
      <c r="H187" s="2099" t="s">
        <v>30</v>
      </c>
      <c r="I187" s="372">
        <f>J187+L187</f>
        <v>0</v>
      </c>
      <c r="J187" s="380"/>
      <c r="K187" s="385"/>
      <c r="L187" s="386"/>
      <c r="M187" s="372">
        <f t="shared" si="93"/>
        <v>20</v>
      </c>
      <c r="N187" s="380"/>
      <c r="O187" s="380"/>
      <c r="P187" s="383">
        <v>20</v>
      </c>
      <c r="Q187" s="384">
        <v>200</v>
      </c>
      <c r="R187" s="385"/>
      <c r="S187" s="385"/>
      <c r="T187" s="386">
        <v>200</v>
      </c>
      <c r="U187" s="384"/>
      <c r="V187" s="385"/>
      <c r="W187" s="385"/>
      <c r="X187" s="386"/>
    </row>
    <row r="188" spans="1:24" ht="43.5" customHeight="1" thickBot="1" x14ac:dyDescent="0.25">
      <c r="A188" s="2559"/>
      <c r="B188" s="2542"/>
      <c r="C188" s="2531"/>
      <c r="D188" s="2529"/>
      <c r="E188" s="2500"/>
      <c r="F188" s="2472" t="s">
        <v>107</v>
      </c>
      <c r="G188" s="2473"/>
      <c r="H188" s="2473"/>
      <c r="I188" s="363">
        <f>SUM(I187)</f>
        <v>0</v>
      </c>
      <c r="J188" s="387">
        <f>SUM(J187)</f>
        <v>0</v>
      </c>
      <c r="K188" s="387"/>
      <c r="L188" s="388"/>
      <c r="M188" s="363">
        <f>SUM(M187)</f>
        <v>20</v>
      </c>
      <c r="N188" s="387">
        <f>SUM(N187)</f>
        <v>0</v>
      </c>
      <c r="O188" s="387"/>
      <c r="P188" s="388">
        <f>P187</f>
        <v>20</v>
      </c>
      <c r="Q188" s="363">
        <f>R188+T188</f>
        <v>200</v>
      </c>
      <c r="R188" s="387">
        <f>SUM(R187)</f>
        <v>0</v>
      </c>
      <c r="S188" s="387"/>
      <c r="T188" s="388">
        <f>T187</f>
        <v>200</v>
      </c>
      <c r="U188" s="363">
        <f>SUM(U187)</f>
        <v>0</v>
      </c>
      <c r="V188" s="387">
        <f>SUM(V187)</f>
        <v>0</v>
      </c>
      <c r="W188" s="387"/>
      <c r="X188" s="388"/>
    </row>
    <row r="189" spans="1:24" ht="68.25" thickBot="1" x14ac:dyDescent="0.25">
      <c r="A189" s="2557">
        <v>1</v>
      </c>
      <c r="B189" s="2540">
        <v>1</v>
      </c>
      <c r="C189" s="2510">
        <v>31</v>
      </c>
      <c r="D189" s="2521" t="s">
        <v>131</v>
      </c>
      <c r="E189" s="2594">
        <v>9</v>
      </c>
      <c r="F189" s="2098" t="s">
        <v>132</v>
      </c>
      <c r="G189" s="2098" t="s">
        <v>133</v>
      </c>
      <c r="H189" s="402" t="s">
        <v>30</v>
      </c>
      <c r="I189" s="384">
        <f>J189+L189</f>
        <v>277</v>
      </c>
      <c r="J189" s="385">
        <v>277</v>
      </c>
      <c r="K189" s="385"/>
      <c r="L189" s="386"/>
      <c r="M189" s="384">
        <f>N189+P189</f>
        <v>400</v>
      </c>
      <c r="N189" s="385">
        <v>400</v>
      </c>
      <c r="O189" s="385"/>
      <c r="P189" s="386"/>
      <c r="Q189" s="384">
        <f>R189+T189</f>
        <v>400</v>
      </c>
      <c r="R189" s="385">
        <v>400</v>
      </c>
      <c r="S189" s="385"/>
      <c r="T189" s="386"/>
      <c r="U189" s="384">
        <f>V189+X189</f>
        <v>400</v>
      </c>
      <c r="V189" s="385">
        <v>400</v>
      </c>
      <c r="W189" s="385"/>
      <c r="X189" s="386"/>
    </row>
    <row r="190" spans="1:24" ht="24" customHeight="1" thickBot="1" x14ac:dyDescent="0.25">
      <c r="A190" s="2559"/>
      <c r="B190" s="2542"/>
      <c r="C190" s="2513"/>
      <c r="D190" s="2593"/>
      <c r="E190" s="2595"/>
      <c r="F190" s="2596" t="s">
        <v>107</v>
      </c>
      <c r="G190" s="2597"/>
      <c r="H190" s="2598"/>
      <c r="I190" s="363">
        <f>J190+L190</f>
        <v>277</v>
      </c>
      <c r="J190" s="387">
        <f>SUM(J189)</f>
        <v>277</v>
      </c>
      <c r="K190" s="387"/>
      <c r="L190" s="388"/>
      <c r="M190" s="363">
        <f>SUM(M189)</f>
        <v>400</v>
      </c>
      <c r="N190" s="387">
        <f>SUM(N189)</f>
        <v>400</v>
      </c>
      <c r="O190" s="387"/>
      <c r="P190" s="388">
        <f>P189</f>
        <v>0</v>
      </c>
      <c r="Q190" s="363">
        <f>SUM(Q189)</f>
        <v>400</v>
      </c>
      <c r="R190" s="387">
        <f>SUM(R189)</f>
        <v>400</v>
      </c>
      <c r="S190" s="387"/>
      <c r="T190" s="388"/>
      <c r="U190" s="363">
        <f>SUM(U189)</f>
        <v>400</v>
      </c>
      <c r="V190" s="387">
        <f>SUM(V189)</f>
        <v>400</v>
      </c>
      <c r="W190" s="387"/>
      <c r="X190" s="388"/>
    </row>
    <row r="191" spans="1:24" ht="25.5" customHeight="1" thickBot="1" x14ac:dyDescent="0.25">
      <c r="A191" s="2094">
        <v>1</v>
      </c>
      <c r="B191" s="403">
        <v>1</v>
      </c>
      <c r="C191" s="2587" t="s">
        <v>134</v>
      </c>
      <c r="D191" s="2588"/>
      <c r="E191" s="2588"/>
      <c r="F191" s="2588"/>
      <c r="G191" s="2588"/>
      <c r="H191" s="2589"/>
      <c r="I191" s="404">
        <f>J191+L191</f>
        <v>30132.199999999997</v>
      </c>
      <c r="J191" s="405">
        <f>J186+J183+J179+J176+J172+J167+J162+J160+J156+J151+J144+J138+J133+J128+J123+J118+J111+J104+J96+J89+J81+J73+J65+J58+J50+J42+J34+J27+J19+J188+J190</f>
        <v>29685.599999999999</v>
      </c>
      <c r="K191" s="405">
        <f>K186+K183+K179+K176+K172+K167+K162+K160+K156+K151+K144+K138+K133+K128+K123+K118+K111+K104+K96+K89+K81+K73+K65+K58+K50+K42+K34+K27+K19+K188+K190</f>
        <v>23323.899999999998</v>
      </c>
      <c r="L191" s="405">
        <f>L186+L183+L179+L176+L172+L167+L162+L160+L156+L151+L144+L189+L138+L133+L128+L123+L118+L111+L104+L96+L89++L81+L73+L65+L58+L50+L42+L34+L27+L19+L188+L190</f>
        <v>446.60000000000008</v>
      </c>
      <c r="M191" s="406">
        <f>N191+P191</f>
        <v>36602.200000000004</v>
      </c>
      <c r="N191" s="405">
        <f t="shared" ref="N191:T191" si="95">N186+N183+N179+N176+N172+N167+N162+N160+N156+N151+N144+N138+N133+N128+N123+N118+N111+N104+N96+N89+N81+N73+N65+N58+N50+N42+N34+N27+N19+N188+N190</f>
        <v>35510.500000000007</v>
      </c>
      <c r="O191" s="405">
        <f t="shared" si="95"/>
        <v>27496.9</v>
      </c>
      <c r="P191" s="405">
        <f t="shared" si="95"/>
        <v>1091.7</v>
      </c>
      <c r="Q191" s="405">
        <f t="shared" si="95"/>
        <v>35230.799999999996</v>
      </c>
      <c r="R191" s="405">
        <f t="shared" si="95"/>
        <v>35030.799999999996</v>
      </c>
      <c r="S191" s="405">
        <f t="shared" si="95"/>
        <v>27486.6</v>
      </c>
      <c r="T191" s="405">
        <f t="shared" si="95"/>
        <v>200</v>
      </c>
      <c r="U191" s="406">
        <f>V191+X191</f>
        <v>35030.799999999996</v>
      </c>
      <c r="V191" s="405">
        <f>V186+V183+V179+V176+V172+V167+V162+V160+V156+V151+V144+V138+V133+V128+V123+V118+V111+V104+V96+V89+V81+V73+V65+V58+V50+V42+V34+V27+V19+V188+V190</f>
        <v>35030.799999999996</v>
      </c>
      <c r="W191" s="405">
        <f>W186+W183+W179+W176+W172+W167+W162+W160+W156+W151+W144+W138+W133+W128+W123+W118+W111+W104+W96+W89+W81+W73+W65+W58+W50+W42+W34+W27+W19+W188+W190</f>
        <v>27486.6</v>
      </c>
      <c r="X191" s="448">
        <f>X186+X183+X179+X176+X172+X167+X162+X160+X156+X151+X144+X138+X133+X128+X123+X118+X111+X104+X96+X81+X73+X65+X58+X50+X42+X34+X27+X19+X188+X190+X89</f>
        <v>0</v>
      </c>
    </row>
    <row r="192" spans="1:24" ht="22.5" customHeight="1" thickBot="1" x14ac:dyDescent="0.25">
      <c r="A192" s="2094">
        <v>1</v>
      </c>
      <c r="B192" s="403">
        <v>2</v>
      </c>
      <c r="C192" s="2590" t="s">
        <v>135</v>
      </c>
      <c r="D192" s="2591"/>
      <c r="E192" s="2591"/>
      <c r="F192" s="2591"/>
      <c r="G192" s="2591"/>
      <c r="H192" s="2591"/>
      <c r="I192" s="2591"/>
      <c r="J192" s="2591"/>
      <c r="K192" s="2591"/>
      <c r="L192" s="2591"/>
      <c r="M192" s="2591"/>
      <c r="N192" s="2591"/>
      <c r="O192" s="2591"/>
      <c r="P192" s="2591"/>
      <c r="Q192" s="2591"/>
      <c r="R192" s="2591"/>
      <c r="S192" s="2591"/>
      <c r="T192" s="2591"/>
      <c r="U192" s="2591"/>
      <c r="V192" s="2591"/>
      <c r="W192" s="2591"/>
      <c r="X192" s="2592"/>
    </row>
    <row r="193" spans="1:59" ht="42" customHeight="1" thickBot="1" x14ac:dyDescent="0.25">
      <c r="A193" s="2585">
        <v>1</v>
      </c>
      <c r="B193" s="2540">
        <v>2</v>
      </c>
      <c r="C193" s="2513">
        <v>1</v>
      </c>
      <c r="D193" s="2565" t="s">
        <v>136</v>
      </c>
      <c r="E193" s="2512">
        <v>11</v>
      </c>
      <c r="F193" s="2085" t="s">
        <v>137</v>
      </c>
      <c r="G193" s="2085" t="s">
        <v>138</v>
      </c>
      <c r="H193" s="407" t="s">
        <v>30</v>
      </c>
      <c r="I193" s="348">
        <f>J193+L193</f>
        <v>8.9</v>
      </c>
      <c r="J193" s="408">
        <v>8.9</v>
      </c>
      <c r="K193" s="408">
        <v>0</v>
      </c>
      <c r="L193" s="350">
        <v>0</v>
      </c>
      <c r="M193" s="372">
        <f>N193+P193</f>
        <v>17</v>
      </c>
      <c r="N193" s="408">
        <v>17</v>
      </c>
      <c r="O193" s="408">
        <v>0</v>
      </c>
      <c r="P193" s="350">
        <v>0</v>
      </c>
      <c r="Q193" s="372">
        <f t="shared" ref="Q193:Q199" si="96">R193+T193</f>
        <v>17</v>
      </c>
      <c r="R193" s="408">
        <v>17</v>
      </c>
      <c r="S193" s="408">
        <v>0</v>
      </c>
      <c r="T193" s="350">
        <v>0</v>
      </c>
      <c r="U193" s="372">
        <f t="shared" ref="U193:U201" si="97">V193+X193</f>
        <v>17</v>
      </c>
      <c r="V193" s="408">
        <v>17</v>
      </c>
      <c r="W193" s="408">
        <v>0</v>
      </c>
      <c r="X193" s="350">
        <v>0</v>
      </c>
    </row>
    <row r="194" spans="1:59" ht="27.75" customHeight="1" thickBot="1" x14ac:dyDescent="0.25">
      <c r="A194" s="2585"/>
      <c r="B194" s="2541"/>
      <c r="C194" s="2513"/>
      <c r="D194" s="2529"/>
      <c r="E194" s="2512"/>
      <c r="F194" s="2583" t="s">
        <v>35</v>
      </c>
      <c r="G194" s="2584"/>
      <c r="H194" s="2546"/>
      <c r="I194" s="359">
        <f>I193</f>
        <v>8.9</v>
      </c>
      <c r="J194" s="360">
        <f>J193</f>
        <v>8.9</v>
      </c>
      <c r="K194" s="409">
        <v>0</v>
      </c>
      <c r="L194" s="410">
        <v>0</v>
      </c>
      <c r="M194" s="411">
        <f>N194+P194</f>
        <v>17</v>
      </c>
      <c r="N194" s="409">
        <f>N193</f>
        <v>17</v>
      </c>
      <c r="O194" s="409">
        <v>0</v>
      </c>
      <c r="P194" s="410">
        <v>0</v>
      </c>
      <c r="Q194" s="411">
        <f t="shared" si="96"/>
        <v>17</v>
      </c>
      <c r="R194" s="409">
        <f>R193</f>
        <v>17</v>
      </c>
      <c r="S194" s="409">
        <v>0</v>
      </c>
      <c r="T194" s="410">
        <v>0</v>
      </c>
      <c r="U194" s="411">
        <f t="shared" si="97"/>
        <v>17</v>
      </c>
      <c r="V194" s="409">
        <f>V193</f>
        <v>17</v>
      </c>
      <c r="W194" s="409">
        <v>0</v>
      </c>
      <c r="X194" s="410">
        <v>0</v>
      </c>
    </row>
    <row r="195" spans="1:59" s="358" customFormat="1" ht="17.25" customHeight="1" x14ac:dyDescent="0.2">
      <c r="A195" s="2557">
        <v>1</v>
      </c>
      <c r="B195" s="2540">
        <v>2</v>
      </c>
      <c r="C195" s="2510">
        <v>2</v>
      </c>
      <c r="D195" s="2527" t="s">
        <v>139</v>
      </c>
      <c r="E195" s="2524" t="s">
        <v>140</v>
      </c>
      <c r="F195" s="2581" t="s">
        <v>141</v>
      </c>
      <c r="G195" s="2581" t="s">
        <v>142</v>
      </c>
      <c r="H195" s="364" t="s">
        <v>30</v>
      </c>
      <c r="I195" s="348">
        <f>J195+L195</f>
        <v>1018.3000000000001</v>
      </c>
      <c r="J195" s="349">
        <v>1008.7</v>
      </c>
      <c r="K195" s="2082">
        <v>931.2</v>
      </c>
      <c r="L195" s="2083">
        <v>9.6</v>
      </c>
      <c r="M195" s="2084">
        <f>N195+P195</f>
        <v>1063.4000000000001</v>
      </c>
      <c r="N195" s="2082">
        <v>1063.4000000000001</v>
      </c>
      <c r="O195" s="2082">
        <v>992.5</v>
      </c>
      <c r="P195" s="2083"/>
      <c r="Q195" s="2084">
        <f t="shared" si="96"/>
        <v>1068.2</v>
      </c>
      <c r="R195" s="2082">
        <v>1068.2</v>
      </c>
      <c r="S195" s="2082">
        <v>997.2</v>
      </c>
      <c r="T195" s="2083"/>
      <c r="U195" s="412">
        <f>V195+X195</f>
        <v>1068.2</v>
      </c>
      <c r="V195" s="413">
        <v>1068.2</v>
      </c>
      <c r="W195" s="413">
        <v>997.2</v>
      </c>
      <c r="X195" s="2083"/>
      <c r="Y195" s="339"/>
      <c r="Z195" s="339"/>
      <c r="AA195" s="339"/>
      <c r="AB195" s="339"/>
      <c r="AC195" s="339"/>
      <c r="AD195" s="339"/>
      <c r="AE195" s="339"/>
      <c r="AF195" s="339"/>
      <c r="AG195" s="339"/>
      <c r="AH195" s="339"/>
      <c r="AI195" s="339"/>
      <c r="AJ195" s="339"/>
      <c r="AK195" s="339"/>
      <c r="AL195" s="339"/>
      <c r="AM195" s="339"/>
      <c r="AN195" s="339"/>
      <c r="AO195" s="339"/>
      <c r="AP195" s="339"/>
      <c r="AQ195" s="339"/>
      <c r="AR195" s="339"/>
      <c r="AS195" s="339"/>
      <c r="AT195" s="339"/>
      <c r="AU195" s="339"/>
      <c r="AV195" s="339"/>
      <c r="AW195" s="339"/>
      <c r="AX195" s="339"/>
      <c r="AY195" s="339"/>
      <c r="AZ195" s="339"/>
      <c r="BA195" s="339"/>
      <c r="BB195" s="339"/>
      <c r="BC195" s="339"/>
      <c r="BD195" s="339"/>
      <c r="BE195" s="339"/>
      <c r="BF195" s="339"/>
      <c r="BG195" s="339"/>
    </row>
    <row r="196" spans="1:59" ht="17.25" customHeight="1" x14ac:dyDescent="0.2">
      <c r="A196" s="2558"/>
      <c r="B196" s="2541"/>
      <c r="C196" s="2513"/>
      <c r="D196" s="2528"/>
      <c r="E196" s="2499"/>
      <c r="F196" s="2530"/>
      <c r="G196" s="2530"/>
      <c r="H196" s="375" t="s">
        <v>28</v>
      </c>
      <c r="I196" s="2122">
        <f t="shared" ref="I196" si="98">J196+L196</f>
        <v>62.6</v>
      </c>
      <c r="J196" s="2079">
        <v>62.6</v>
      </c>
      <c r="K196" s="2079">
        <v>61.7</v>
      </c>
      <c r="L196" s="2080"/>
      <c r="M196" s="2111">
        <f t="shared" ref="M196:M198" si="99">N196+P196</f>
        <v>83.3</v>
      </c>
      <c r="N196" s="2079">
        <v>83.3</v>
      </c>
      <c r="O196" s="2079">
        <v>82.1</v>
      </c>
      <c r="P196" s="2080"/>
      <c r="Q196" s="2111">
        <f t="shared" si="96"/>
        <v>83.3</v>
      </c>
      <c r="R196" s="2079">
        <v>83.3</v>
      </c>
      <c r="S196" s="2079">
        <v>82.1</v>
      </c>
      <c r="T196" s="2080"/>
      <c r="U196" s="414">
        <f t="shared" ref="U196" si="100">V196+X196</f>
        <v>83.3</v>
      </c>
      <c r="V196" s="382">
        <v>83.3</v>
      </c>
      <c r="W196" s="382">
        <v>82.1</v>
      </c>
      <c r="X196" s="2080"/>
    </row>
    <row r="197" spans="1:59" s="358" customFormat="1" ht="20.25" customHeight="1" x14ac:dyDescent="0.2">
      <c r="A197" s="2558"/>
      <c r="B197" s="2541"/>
      <c r="C197" s="2513"/>
      <c r="D197" s="2528"/>
      <c r="E197" s="2499"/>
      <c r="F197" s="2530"/>
      <c r="G197" s="2530"/>
      <c r="H197" s="375" t="s">
        <v>34</v>
      </c>
      <c r="I197" s="2122">
        <f>J197+L197</f>
        <v>31</v>
      </c>
      <c r="J197" s="2079">
        <v>31</v>
      </c>
      <c r="K197" s="2079">
        <v>19.7</v>
      </c>
      <c r="L197" s="2080"/>
      <c r="M197" s="2122">
        <f>N197+P197</f>
        <v>67.7</v>
      </c>
      <c r="N197" s="2079">
        <v>67.7</v>
      </c>
      <c r="O197" s="2079">
        <v>46.8</v>
      </c>
      <c r="P197" s="2080"/>
      <c r="Q197" s="2122">
        <f t="shared" si="96"/>
        <v>67.7</v>
      </c>
      <c r="R197" s="2079">
        <v>67.7</v>
      </c>
      <c r="S197" s="2079">
        <v>46.8</v>
      </c>
      <c r="T197" s="2080"/>
      <c r="U197" s="381">
        <f>V197+X197</f>
        <v>67.7</v>
      </c>
      <c r="V197" s="382">
        <v>67.7</v>
      </c>
      <c r="W197" s="382">
        <v>46.8</v>
      </c>
      <c r="X197" s="2080"/>
      <c r="Y197" s="339"/>
      <c r="Z197" s="339"/>
      <c r="AA197" s="339"/>
      <c r="AB197" s="339"/>
      <c r="AC197" s="339"/>
      <c r="AD197" s="339"/>
      <c r="AE197" s="339"/>
      <c r="AF197" s="339"/>
      <c r="AG197" s="339"/>
      <c r="AH197" s="339"/>
      <c r="AI197" s="339"/>
      <c r="AJ197" s="339"/>
      <c r="AK197" s="339"/>
      <c r="AL197" s="339"/>
      <c r="AM197" s="339"/>
      <c r="AN197" s="339"/>
      <c r="AO197" s="339"/>
      <c r="AP197" s="339"/>
      <c r="AQ197" s="339"/>
      <c r="AR197" s="339"/>
      <c r="AS197" s="339"/>
      <c r="AT197" s="339"/>
      <c r="AU197" s="339"/>
      <c r="AV197" s="339"/>
      <c r="AW197" s="339"/>
      <c r="AX197" s="339"/>
      <c r="AY197" s="339"/>
      <c r="AZ197" s="339"/>
      <c r="BA197" s="339"/>
      <c r="BB197" s="339"/>
      <c r="BC197" s="339"/>
      <c r="BD197" s="339"/>
      <c r="BE197" s="339"/>
      <c r="BF197" s="339"/>
      <c r="BG197" s="339"/>
    </row>
    <row r="198" spans="1:59" ht="20.25" customHeight="1" thickBot="1" x14ac:dyDescent="0.25">
      <c r="A198" s="2558"/>
      <c r="B198" s="2541"/>
      <c r="C198" s="2513"/>
      <c r="D198" s="2528"/>
      <c r="E198" s="2499"/>
      <c r="F198" s="2530"/>
      <c r="G198" s="2582"/>
      <c r="H198" s="375" t="s">
        <v>33</v>
      </c>
      <c r="I198" s="415">
        <f t="shared" ref="I198:I206" si="101">J198+L198</f>
        <v>0</v>
      </c>
      <c r="J198" s="416"/>
      <c r="K198" s="416"/>
      <c r="L198" s="417"/>
      <c r="M198" s="418">
        <f t="shared" si="99"/>
        <v>57.7</v>
      </c>
      <c r="N198" s="416">
        <v>57.7</v>
      </c>
      <c r="O198" s="416">
        <v>56.9</v>
      </c>
      <c r="P198" s="417"/>
      <c r="Q198" s="418">
        <f t="shared" si="96"/>
        <v>0</v>
      </c>
      <c r="R198" s="416"/>
      <c r="S198" s="416"/>
      <c r="T198" s="417"/>
      <c r="U198" s="419">
        <f t="shared" si="97"/>
        <v>0</v>
      </c>
      <c r="V198" s="420"/>
      <c r="W198" s="420"/>
      <c r="X198" s="417"/>
    </row>
    <row r="199" spans="1:59" s="358" customFormat="1" ht="19.5" customHeight="1" thickBot="1" x14ac:dyDescent="0.25">
      <c r="A199" s="2559"/>
      <c r="B199" s="2541"/>
      <c r="C199" s="2513"/>
      <c r="D199" s="2529"/>
      <c r="E199" s="2499"/>
      <c r="F199" s="2583" t="s">
        <v>35</v>
      </c>
      <c r="G199" s="2584"/>
      <c r="H199" s="2546"/>
      <c r="I199" s="421">
        <f t="shared" si="101"/>
        <v>1111.8999999999999</v>
      </c>
      <c r="J199" s="422">
        <f>SUM(J195:J198)</f>
        <v>1102.3</v>
      </c>
      <c r="K199" s="422">
        <f>SUM(K195:K198)</f>
        <v>1012.6000000000001</v>
      </c>
      <c r="L199" s="423">
        <f>SUM(L195:L198)</f>
        <v>9.6</v>
      </c>
      <c r="M199" s="359">
        <f>N199+P199</f>
        <v>1272.1000000000001</v>
      </c>
      <c r="N199" s="360">
        <f>SUM(N195:N198)</f>
        <v>1272.1000000000001</v>
      </c>
      <c r="O199" s="360">
        <f>SUM(O195:O198)</f>
        <v>1178.3</v>
      </c>
      <c r="P199" s="361">
        <f>SUM(P195:P198)</f>
        <v>0</v>
      </c>
      <c r="Q199" s="359">
        <f t="shared" si="96"/>
        <v>1219.2</v>
      </c>
      <c r="R199" s="360">
        <f>R195+R196+R197+R198</f>
        <v>1219.2</v>
      </c>
      <c r="S199" s="360">
        <f>S195+S196+S197+S198</f>
        <v>1126.0999999999999</v>
      </c>
      <c r="T199" s="361">
        <f>SUM(T195:T198)</f>
        <v>0</v>
      </c>
      <c r="U199" s="359">
        <f>V199+X199</f>
        <v>1219.2</v>
      </c>
      <c r="V199" s="360">
        <f>V195+V196+V197+V198</f>
        <v>1219.2</v>
      </c>
      <c r="W199" s="360">
        <f>W195+W196+W197+W198</f>
        <v>1126.0999999999999</v>
      </c>
      <c r="X199" s="361">
        <f>SUM(X195:X198)</f>
        <v>0</v>
      </c>
      <c r="Y199" s="339"/>
      <c r="Z199" s="339"/>
      <c r="AA199" s="339"/>
      <c r="AB199" s="339"/>
      <c r="AC199" s="339"/>
      <c r="AD199" s="339"/>
      <c r="AE199" s="339"/>
      <c r="AF199" s="339"/>
      <c r="AG199" s="339"/>
      <c r="AH199" s="339"/>
      <c r="AI199" s="339"/>
      <c r="AJ199" s="339"/>
      <c r="AK199" s="339"/>
      <c r="AL199" s="339"/>
      <c r="AM199" s="339"/>
      <c r="AN199" s="339"/>
      <c r="AO199" s="339"/>
      <c r="AP199" s="339"/>
      <c r="AQ199" s="339"/>
      <c r="AR199" s="339"/>
      <c r="AS199" s="339"/>
      <c r="AT199" s="339"/>
      <c r="AU199" s="339"/>
      <c r="AV199" s="339"/>
      <c r="AW199" s="339"/>
      <c r="AX199" s="339"/>
      <c r="AY199" s="339"/>
      <c r="AZ199" s="339"/>
      <c r="BA199" s="339"/>
      <c r="BB199" s="339"/>
      <c r="BC199" s="339"/>
      <c r="BD199" s="339"/>
      <c r="BE199" s="339"/>
      <c r="BF199" s="339"/>
      <c r="BG199" s="339"/>
    </row>
    <row r="200" spans="1:59" ht="22.5" customHeight="1" x14ac:dyDescent="0.2">
      <c r="A200" s="2585">
        <v>1</v>
      </c>
      <c r="B200" s="2540">
        <v>2</v>
      </c>
      <c r="C200" s="2510">
        <v>3</v>
      </c>
      <c r="D200" s="2527" t="s">
        <v>143</v>
      </c>
      <c r="E200" s="2524" t="s">
        <v>144</v>
      </c>
      <c r="F200" s="2581" t="s">
        <v>141</v>
      </c>
      <c r="G200" s="2581" t="s">
        <v>145</v>
      </c>
      <c r="H200" s="364" t="s">
        <v>30</v>
      </c>
      <c r="I200" s="348">
        <f t="shared" si="101"/>
        <v>230.8</v>
      </c>
      <c r="J200" s="349">
        <v>228</v>
      </c>
      <c r="K200" s="349">
        <v>188.8</v>
      </c>
      <c r="L200" s="424">
        <v>2.8</v>
      </c>
      <c r="M200" s="2084">
        <f>N200+P200</f>
        <v>280.3</v>
      </c>
      <c r="N200" s="2082">
        <v>280.3</v>
      </c>
      <c r="O200" s="2082">
        <v>243.9</v>
      </c>
      <c r="P200" s="2083"/>
      <c r="Q200" s="412">
        <v>282.3</v>
      </c>
      <c r="R200" s="413">
        <v>282.3</v>
      </c>
      <c r="S200" s="413">
        <v>246.7</v>
      </c>
      <c r="T200" s="425"/>
      <c r="U200" s="412">
        <f t="shared" si="97"/>
        <v>282.3</v>
      </c>
      <c r="V200" s="413">
        <v>282.3</v>
      </c>
      <c r="W200" s="2082">
        <v>246.7</v>
      </c>
      <c r="X200" s="2083"/>
    </row>
    <row r="201" spans="1:59" ht="21.75" customHeight="1" x14ac:dyDescent="0.2">
      <c r="A201" s="2585"/>
      <c r="B201" s="2541"/>
      <c r="C201" s="2513"/>
      <c r="D201" s="2528"/>
      <c r="E201" s="2499"/>
      <c r="F201" s="2530"/>
      <c r="G201" s="2530"/>
      <c r="H201" s="375" t="s">
        <v>28</v>
      </c>
      <c r="I201" s="2122">
        <f t="shared" si="101"/>
        <v>40.299999999999997</v>
      </c>
      <c r="J201" s="2079">
        <v>40.299999999999997</v>
      </c>
      <c r="K201" s="2079">
        <v>39.700000000000003</v>
      </c>
      <c r="L201" s="2110"/>
      <c r="M201" s="2122">
        <f t="shared" ref="M201:M203" si="102">N201+P201</f>
        <v>33.4</v>
      </c>
      <c r="N201" s="2079">
        <v>33.4</v>
      </c>
      <c r="O201" s="2079">
        <v>32.9</v>
      </c>
      <c r="P201" s="2080"/>
      <c r="Q201" s="2122">
        <f t="shared" ref="Q201" si="103">R201+T201</f>
        <v>33.4</v>
      </c>
      <c r="R201" s="2079">
        <v>33.4</v>
      </c>
      <c r="S201" s="2079">
        <v>32.9</v>
      </c>
      <c r="T201" s="2080"/>
      <c r="U201" s="2122">
        <f t="shared" si="97"/>
        <v>33.4</v>
      </c>
      <c r="V201" s="2079">
        <v>33.4</v>
      </c>
      <c r="W201" s="2079">
        <v>32.9</v>
      </c>
      <c r="X201" s="2080"/>
    </row>
    <row r="202" spans="1:59" ht="22.5" customHeight="1" x14ac:dyDescent="0.2">
      <c r="A202" s="2585"/>
      <c r="B202" s="2541"/>
      <c r="C202" s="2513"/>
      <c r="D202" s="2528"/>
      <c r="E202" s="2499"/>
      <c r="F202" s="2530"/>
      <c r="G202" s="2530"/>
      <c r="H202" s="375" t="s">
        <v>34</v>
      </c>
      <c r="I202" s="2122">
        <f>J202+L202</f>
        <v>6.2</v>
      </c>
      <c r="J202" s="2079">
        <v>6.2</v>
      </c>
      <c r="K202" s="2079">
        <v>1.5</v>
      </c>
      <c r="L202" s="2110"/>
      <c r="M202" s="2122">
        <f t="shared" si="102"/>
        <v>16.399999999999999</v>
      </c>
      <c r="N202" s="2079">
        <v>16.399999999999999</v>
      </c>
      <c r="O202" s="2079">
        <v>7.1</v>
      </c>
      <c r="P202" s="2080"/>
      <c r="Q202" s="2122">
        <f>R202+T202</f>
        <v>16.399999999999999</v>
      </c>
      <c r="R202" s="2079">
        <v>16.399999999999999</v>
      </c>
      <c r="S202" s="2079">
        <v>7.1</v>
      </c>
      <c r="T202" s="2080"/>
      <c r="U202" s="2122">
        <f>V202+X202</f>
        <v>16.399999999999999</v>
      </c>
      <c r="V202" s="2079">
        <v>16.399999999999999</v>
      </c>
      <c r="W202" s="2079">
        <v>7.1</v>
      </c>
      <c r="X202" s="2080"/>
    </row>
    <row r="203" spans="1:59" s="358" customFormat="1" ht="16.5" customHeight="1" thickBot="1" x14ac:dyDescent="0.25">
      <c r="A203" s="2585"/>
      <c r="B203" s="2541"/>
      <c r="C203" s="2513"/>
      <c r="D203" s="2528"/>
      <c r="E203" s="2499"/>
      <c r="F203" s="2510"/>
      <c r="G203" s="2510"/>
      <c r="H203" s="401" t="s">
        <v>33</v>
      </c>
      <c r="I203" s="2123">
        <f t="shared" si="101"/>
        <v>0</v>
      </c>
      <c r="J203" s="355"/>
      <c r="K203" s="355"/>
      <c r="L203" s="426"/>
      <c r="M203" s="415">
        <f t="shared" si="102"/>
        <v>10.3</v>
      </c>
      <c r="N203" s="416">
        <v>10.3</v>
      </c>
      <c r="O203" s="416">
        <v>10.199999999999999</v>
      </c>
      <c r="P203" s="417"/>
      <c r="Q203" s="415">
        <f>R203+T203</f>
        <v>0</v>
      </c>
      <c r="R203" s="416"/>
      <c r="S203" s="416"/>
      <c r="T203" s="417"/>
      <c r="U203" s="415">
        <f>V203+X203</f>
        <v>0</v>
      </c>
      <c r="V203" s="416"/>
      <c r="W203" s="416"/>
      <c r="X203" s="417"/>
      <c r="Y203" s="339"/>
      <c r="Z203" s="33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39"/>
      <c r="AO203" s="339"/>
      <c r="AP203" s="339"/>
      <c r="AQ203" s="339"/>
      <c r="AR203" s="339"/>
      <c r="AS203" s="339"/>
      <c r="AT203" s="339"/>
      <c r="AU203" s="339"/>
      <c r="AV203" s="339"/>
      <c r="AW203" s="339"/>
      <c r="AX203" s="339"/>
      <c r="AY203" s="339"/>
      <c r="AZ203" s="339"/>
      <c r="BA203" s="339"/>
      <c r="BB203" s="339"/>
      <c r="BC203" s="339"/>
      <c r="BD203" s="339"/>
      <c r="BE203" s="339"/>
      <c r="BF203" s="339"/>
      <c r="BG203" s="339"/>
    </row>
    <row r="204" spans="1:59" ht="21.75" customHeight="1" thickBot="1" x14ac:dyDescent="0.25">
      <c r="A204" s="2585"/>
      <c r="B204" s="2541"/>
      <c r="C204" s="2513"/>
      <c r="D204" s="2529"/>
      <c r="E204" s="2499"/>
      <c r="F204" s="2578" t="s">
        <v>35</v>
      </c>
      <c r="G204" s="2579"/>
      <c r="H204" s="2586"/>
      <c r="I204" s="359">
        <f t="shared" si="101"/>
        <v>277.3</v>
      </c>
      <c r="J204" s="360">
        <f>J200+J201+J202</f>
        <v>274.5</v>
      </c>
      <c r="K204" s="360">
        <f>K200+K201+K202</f>
        <v>230</v>
      </c>
      <c r="L204" s="361">
        <f>SUM(L200:L203)</f>
        <v>2.8</v>
      </c>
      <c r="M204" s="427">
        <f>N204+P204</f>
        <v>340.4</v>
      </c>
      <c r="N204" s="422">
        <f>SUM(N200:N203)</f>
        <v>340.4</v>
      </c>
      <c r="O204" s="422">
        <f>SUM(O200:O203)</f>
        <v>294.10000000000002</v>
      </c>
      <c r="P204" s="428">
        <f>SUM(P200:P203)</f>
        <v>0</v>
      </c>
      <c r="Q204" s="427">
        <f>R204+T204</f>
        <v>332.09999999999997</v>
      </c>
      <c r="R204" s="422">
        <f>SUM(R200:R203)</f>
        <v>332.09999999999997</v>
      </c>
      <c r="S204" s="422">
        <f>SUM(S200:S203)</f>
        <v>286.7</v>
      </c>
      <c r="T204" s="428">
        <f>SUM(T200:T203)</f>
        <v>0</v>
      </c>
      <c r="U204" s="427">
        <f>V204+X204</f>
        <v>332.09999999999997</v>
      </c>
      <c r="V204" s="422">
        <f>SUM(V200:V203)</f>
        <v>332.09999999999997</v>
      </c>
      <c r="W204" s="422">
        <f>SUM(W200:W203)</f>
        <v>286.7</v>
      </c>
      <c r="X204" s="428">
        <f>SUM(X200:X203)</f>
        <v>0</v>
      </c>
    </row>
    <row r="205" spans="1:59" ht="54.75" customHeight="1" thickBot="1" x14ac:dyDescent="0.25">
      <c r="A205" s="2557">
        <v>1</v>
      </c>
      <c r="B205" s="2540">
        <v>2</v>
      </c>
      <c r="C205" s="2510">
        <v>4</v>
      </c>
      <c r="D205" s="2503" t="s">
        <v>146</v>
      </c>
      <c r="E205" s="2535"/>
      <c r="F205" s="2089" t="s">
        <v>147</v>
      </c>
      <c r="G205" s="2108" t="s">
        <v>148</v>
      </c>
      <c r="H205" s="2093" t="s">
        <v>33</v>
      </c>
      <c r="I205" s="485">
        <f>J205+L205</f>
        <v>236.2</v>
      </c>
      <c r="J205" s="1557">
        <v>236.2</v>
      </c>
      <c r="K205" s="1557">
        <v>8</v>
      </c>
      <c r="L205" s="1558"/>
      <c r="M205" s="372">
        <f>N205+P205</f>
        <v>269.89999999999998</v>
      </c>
      <c r="N205" s="429">
        <v>269.89999999999998</v>
      </c>
      <c r="O205" s="429">
        <v>8</v>
      </c>
      <c r="P205" s="430">
        <v>0</v>
      </c>
      <c r="Q205" s="372">
        <f>R205+T205</f>
        <v>269.89999999999998</v>
      </c>
      <c r="R205" s="429">
        <v>269.89999999999998</v>
      </c>
      <c r="S205" s="429">
        <v>8</v>
      </c>
      <c r="T205" s="430"/>
      <c r="U205" s="372">
        <f>V205+X205</f>
        <v>269.89999999999998</v>
      </c>
      <c r="V205" s="429">
        <v>269.89999999999998</v>
      </c>
      <c r="W205" s="429">
        <v>8</v>
      </c>
      <c r="X205" s="430"/>
      <c r="Y205" s="431"/>
      <c r="Z205" s="431"/>
      <c r="AA205" s="431"/>
      <c r="AB205" s="431"/>
      <c r="AC205" s="431"/>
      <c r="AD205" s="431"/>
      <c r="AE205" s="431"/>
      <c r="AF205" s="431"/>
      <c r="AG205" s="431"/>
      <c r="AH205" s="431"/>
      <c r="AI205" s="431"/>
      <c r="AJ205" s="431"/>
      <c r="AK205" s="431"/>
      <c r="AL205" s="431"/>
      <c r="AM205" s="431"/>
      <c r="AN205" s="431"/>
      <c r="AO205" s="431"/>
      <c r="AP205" s="431"/>
      <c r="AQ205" s="431"/>
      <c r="AR205" s="431"/>
      <c r="AS205" s="431"/>
      <c r="AT205" s="431"/>
      <c r="AU205" s="431"/>
      <c r="AV205" s="431"/>
      <c r="AW205" s="431"/>
      <c r="AX205" s="431"/>
      <c r="AY205" s="431"/>
      <c r="AZ205" s="431"/>
      <c r="BA205" s="431"/>
      <c r="BB205" s="431"/>
      <c r="BC205" s="431"/>
      <c r="BD205" s="431"/>
      <c r="BE205" s="431"/>
      <c r="BF205" s="431"/>
      <c r="BG205" s="431"/>
    </row>
    <row r="206" spans="1:59" ht="20.25" customHeight="1" thickBot="1" x14ac:dyDescent="0.25">
      <c r="A206" s="2559"/>
      <c r="B206" s="2542"/>
      <c r="C206" s="2531"/>
      <c r="D206" s="2505"/>
      <c r="E206" s="2577"/>
      <c r="F206" s="2578" t="s">
        <v>35</v>
      </c>
      <c r="G206" s="2579"/>
      <c r="H206" s="2580"/>
      <c r="I206" s="359">
        <f t="shared" si="101"/>
        <v>236.2</v>
      </c>
      <c r="J206" s="360">
        <f>SUM(J205)</f>
        <v>236.2</v>
      </c>
      <c r="K206" s="360">
        <f t="shared" ref="K206:L206" si="104">SUM(K205)</f>
        <v>8</v>
      </c>
      <c r="L206" s="360">
        <f t="shared" si="104"/>
        <v>0</v>
      </c>
      <c r="M206" s="359">
        <f t="shared" ref="M206:M207" si="105">N206+P206</f>
        <v>269.89999999999998</v>
      </c>
      <c r="N206" s="360">
        <f>SUM(N205)</f>
        <v>269.89999999999998</v>
      </c>
      <c r="O206" s="360">
        <f t="shared" ref="O206" si="106">SUM(O205)</f>
        <v>8</v>
      </c>
      <c r="P206" s="361">
        <v>0</v>
      </c>
      <c r="Q206" s="359">
        <f t="shared" ref="Q206:Q207" si="107">R206+T206</f>
        <v>269.89999999999998</v>
      </c>
      <c r="R206" s="360">
        <f>SUM(R205)</f>
        <v>269.89999999999998</v>
      </c>
      <c r="S206" s="360">
        <f t="shared" ref="S206" si="108">SUM(S205)</f>
        <v>8</v>
      </c>
      <c r="T206" s="361">
        <v>0</v>
      </c>
      <c r="U206" s="359">
        <f t="shared" ref="U206" si="109">V206+X206</f>
        <v>269.89999999999998</v>
      </c>
      <c r="V206" s="360">
        <f>SUM(V205)</f>
        <v>269.89999999999998</v>
      </c>
      <c r="W206" s="360">
        <f t="shared" ref="W206" si="110">SUM(W205)</f>
        <v>8</v>
      </c>
      <c r="X206" s="361">
        <v>0</v>
      </c>
    </row>
    <row r="207" spans="1:59" s="358" customFormat="1" ht="15.75" customHeight="1" x14ac:dyDescent="0.2">
      <c r="A207" s="2557">
        <v>1</v>
      </c>
      <c r="B207" s="2540">
        <v>2</v>
      </c>
      <c r="C207" s="2510">
        <v>5</v>
      </c>
      <c r="D207" s="2503" t="s">
        <v>149</v>
      </c>
      <c r="E207" s="2524" t="s">
        <v>104</v>
      </c>
      <c r="F207" s="2556" t="s">
        <v>105</v>
      </c>
      <c r="G207" s="2556" t="s">
        <v>150</v>
      </c>
      <c r="H207" s="2100" t="s">
        <v>30</v>
      </c>
      <c r="I207" s="412">
        <f>J207+L207</f>
        <v>48</v>
      </c>
      <c r="J207" s="413">
        <v>48</v>
      </c>
      <c r="K207" s="413"/>
      <c r="L207" s="425"/>
      <c r="M207" s="412">
        <f t="shared" si="105"/>
        <v>87.6</v>
      </c>
      <c r="N207" s="377">
        <f>50+37.6</f>
        <v>87.6</v>
      </c>
      <c r="O207" s="377"/>
      <c r="P207" s="432"/>
      <c r="Q207" s="412">
        <f t="shared" si="107"/>
        <v>50</v>
      </c>
      <c r="R207" s="377">
        <v>50</v>
      </c>
      <c r="S207" s="377"/>
      <c r="T207" s="432"/>
      <c r="U207" s="412">
        <f>V207+X207</f>
        <v>50</v>
      </c>
      <c r="V207" s="413">
        <v>50</v>
      </c>
      <c r="W207" s="413"/>
      <c r="X207" s="425"/>
      <c r="Y207" s="339"/>
      <c r="Z207" s="339"/>
      <c r="AA207" s="339"/>
      <c r="AB207" s="339"/>
      <c r="AC207" s="339"/>
      <c r="AD207" s="339"/>
      <c r="AE207" s="339"/>
      <c r="AF207" s="339"/>
      <c r="AG207" s="339"/>
      <c r="AH207" s="339"/>
      <c r="AI207" s="339"/>
      <c r="AJ207" s="339"/>
      <c r="AK207" s="339"/>
      <c r="AL207" s="339"/>
      <c r="AM207" s="339"/>
      <c r="AN207" s="339"/>
      <c r="AO207" s="339"/>
      <c r="AP207" s="339"/>
      <c r="AQ207" s="339"/>
      <c r="AR207" s="339"/>
      <c r="AS207" s="339"/>
      <c r="AT207" s="339"/>
      <c r="AU207" s="339"/>
      <c r="AV207" s="339"/>
      <c r="AW207" s="339"/>
      <c r="AX207" s="339"/>
      <c r="AY207" s="339"/>
      <c r="AZ207" s="339"/>
      <c r="BA207" s="339"/>
      <c r="BB207" s="339"/>
      <c r="BC207" s="339"/>
      <c r="BD207" s="339"/>
      <c r="BE207" s="339"/>
      <c r="BF207" s="339"/>
      <c r="BG207" s="339"/>
    </row>
    <row r="208" spans="1:59" ht="15.75" customHeight="1" x14ac:dyDescent="0.2">
      <c r="A208" s="2558"/>
      <c r="B208" s="2541"/>
      <c r="C208" s="2513"/>
      <c r="D208" s="2504"/>
      <c r="E208" s="2499"/>
      <c r="F208" s="2556"/>
      <c r="G208" s="2556"/>
      <c r="H208" s="433" t="s">
        <v>33</v>
      </c>
      <c r="I208" s="381">
        <v>45</v>
      </c>
      <c r="J208" s="377">
        <v>45</v>
      </c>
      <c r="K208" s="377"/>
      <c r="L208" s="390"/>
      <c r="M208" s="381"/>
      <c r="N208" s="377"/>
      <c r="O208" s="377"/>
      <c r="P208" s="390"/>
      <c r="Q208" s="381"/>
      <c r="R208" s="377"/>
      <c r="S208" s="377"/>
      <c r="T208" s="390"/>
      <c r="U208" s="381"/>
      <c r="V208" s="377"/>
      <c r="W208" s="377"/>
      <c r="X208" s="390"/>
    </row>
    <row r="209" spans="1:59" ht="34.5" thickBot="1" x14ac:dyDescent="0.25">
      <c r="A209" s="2558"/>
      <c r="B209" s="2541"/>
      <c r="C209" s="2513"/>
      <c r="D209" s="2504"/>
      <c r="E209" s="2499"/>
      <c r="F209" s="2556"/>
      <c r="G209" s="2556"/>
      <c r="H209" s="433" t="s">
        <v>31</v>
      </c>
      <c r="I209" s="434"/>
      <c r="J209" s="377"/>
      <c r="K209" s="377"/>
      <c r="L209" s="390"/>
      <c r="M209" s="434"/>
      <c r="N209" s="377"/>
      <c r="O209" s="377"/>
      <c r="P209" s="386"/>
      <c r="Q209" s="434"/>
      <c r="R209" s="377"/>
      <c r="S209" s="377"/>
      <c r="T209" s="386"/>
      <c r="U209" s="389"/>
      <c r="V209" s="377"/>
      <c r="W209" s="377"/>
      <c r="X209" s="386"/>
    </row>
    <row r="210" spans="1:59" ht="20.25" customHeight="1" thickBot="1" x14ac:dyDescent="0.25">
      <c r="A210" s="2559"/>
      <c r="B210" s="2542"/>
      <c r="C210" s="2531"/>
      <c r="D210" s="2505"/>
      <c r="E210" s="2500"/>
      <c r="F210" s="2507" t="s">
        <v>107</v>
      </c>
      <c r="G210" s="2508"/>
      <c r="H210" s="2509"/>
      <c r="I210" s="392">
        <f>J210+L210</f>
        <v>93</v>
      </c>
      <c r="J210" s="387">
        <f>J207+J208</f>
        <v>93</v>
      </c>
      <c r="K210" s="387"/>
      <c r="L210" s="435"/>
      <c r="M210" s="363">
        <f t="shared" ref="M210:M215" si="111">N210+P210</f>
        <v>87.6</v>
      </c>
      <c r="N210" s="387">
        <f>N207+N208+N209</f>
        <v>87.6</v>
      </c>
      <c r="O210" s="387"/>
      <c r="P210" s="388"/>
      <c r="Q210" s="363">
        <f t="shared" ref="Q210:Q215" si="112">R210+T210</f>
        <v>50</v>
      </c>
      <c r="R210" s="387">
        <f>R207+R208+R209</f>
        <v>50</v>
      </c>
      <c r="S210" s="387"/>
      <c r="T210" s="388"/>
      <c r="U210" s="363">
        <f t="shared" ref="U210:U214" si="113">V210+X210</f>
        <v>50</v>
      </c>
      <c r="V210" s="387">
        <f>V207+V208+V209</f>
        <v>50</v>
      </c>
      <c r="W210" s="387"/>
      <c r="X210" s="388"/>
    </row>
    <row r="211" spans="1:59" ht="18.75" customHeight="1" thickBot="1" x14ac:dyDescent="0.25">
      <c r="A211" s="2557">
        <v>1</v>
      </c>
      <c r="B211" s="2540">
        <v>2</v>
      </c>
      <c r="C211" s="2571">
        <v>6</v>
      </c>
      <c r="D211" s="2527" t="s">
        <v>151</v>
      </c>
      <c r="E211" s="2511">
        <v>11</v>
      </c>
      <c r="F211" s="2108" t="s">
        <v>152</v>
      </c>
      <c r="G211" s="2108" t="s">
        <v>153</v>
      </c>
      <c r="H211" s="436" t="s">
        <v>30</v>
      </c>
      <c r="I211" s="437">
        <f>J211+L211</f>
        <v>8</v>
      </c>
      <c r="J211" s="438">
        <v>8</v>
      </c>
      <c r="K211" s="438"/>
      <c r="L211" s="439"/>
      <c r="M211" s="437">
        <f t="shared" si="111"/>
        <v>8</v>
      </c>
      <c r="N211" s="438">
        <v>8</v>
      </c>
      <c r="O211" s="438">
        <v>0</v>
      </c>
      <c r="P211" s="439">
        <v>0</v>
      </c>
      <c r="Q211" s="437">
        <f t="shared" si="112"/>
        <v>8</v>
      </c>
      <c r="R211" s="438">
        <v>8</v>
      </c>
      <c r="S211" s="438">
        <v>0</v>
      </c>
      <c r="T211" s="439">
        <v>0</v>
      </c>
      <c r="U211" s="437">
        <f>V211+X211</f>
        <v>8</v>
      </c>
      <c r="V211" s="438">
        <v>8</v>
      </c>
      <c r="W211" s="438">
        <v>0</v>
      </c>
      <c r="X211" s="439">
        <v>0</v>
      </c>
    </row>
    <row r="212" spans="1:59" ht="21" customHeight="1" thickBot="1" x14ac:dyDescent="0.25">
      <c r="A212" s="2559"/>
      <c r="B212" s="2542"/>
      <c r="C212" s="2572"/>
      <c r="D212" s="2529"/>
      <c r="E212" s="2523"/>
      <c r="F212" s="2516" t="s">
        <v>35</v>
      </c>
      <c r="G212" s="2517"/>
      <c r="H212" s="2518"/>
      <c r="I212" s="359">
        <f>J212+L212</f>
        <v>8</v>
      </c>
      <c r="J212" s="360">
        <f>SUM(J211)</f>
        <v>8</v>
      </c>
      <c r="K212" s="360">
        <v>0</v>
      </c>
      <c r="L212" s="361">
        <v>0</v>
      </c>
      <c r="M212" s="374">
        <f t="shared" si="111"/>
        <v>8</v>
      </c>
      <c r="N212" s="360">
        <f>N211</f>
        <v>8</v>
      </c>
      <c r="O212" s="360">
        <v>0</v>
      </c>
      <c r="P212" s="361">
        <v>0</v>
      </c>
      <c r="Q212" s="374">
        <f t="shared" si="112"/>
        <v>8</v>
      </c>
      <c r="R212" s="360">
        <f>R211</f>
        <v>8</v>
      </c>
      <c r="S212" s="360">
        <v>0</v>
      </c>
      <c r="T212" s="361">
        <v>0</v>
      </c>
      <c r="U212" s="374">
        <f t="shared" si="113"/>
        <v>8</v>
      </c>
      <c r="V212" s="360">
        <f>V211</f>
        <v>8</v>
      </c>
      <c r="W212" s="360">
        <v>0</v>
      </c>
      <c r="X212" s="361">
        <v>0</v>
      </c>
    </row>
    <row r="213" spans="1:59" ht="21" customHeight="1" thickBot="1" x14ac:dyDescent="0.25">
      <c r="A213" s="2557">
        <v>1</v>
      </c>
      <c r="B213" s="2540">
        <v>2</v>
      </c>
      <c r="C213" s="2571">
        <v>7</v>
      </c>
      <c r="D213" s="2503" t="s">
        <v>154</v>
      </c>
      <c r="E213" s="2571">
        <v>11</v>
      </c>
      <c r="F213" s="440" t="s">
        <v>147</v>
      </c>
      <c r="G213" s="2098" t="s">
        <v>155</v>
      </c>
      <c r="H213" s="441" t="s">
        <v>30</v>
      </c>
      <c r="I213" s="442">
        <v>20</v>
      </c>
      <c r="J213" s="443">
        <v>20</v>
      </c>
      <c r="K213" s="443"/>
      <c r="L213" s="444"/>
      <c r="M213" s="442">
        <f t="shared" si="111"/>
        <v>20</v>
      </c>
      <c r="N213" s="443">
        <v>20</v>
      </c>
      <c r="O213" s="443"/>
      <c r="P213" s="444"/>
      <c r="Q213" s="442">
        <f t="shared" si="112"/>
        <v>20</v>
      </c>
      <c r="R213" s="443">
        <v>20</v>
      </c>
      <c r="S213" s="443"/>
      <c r="T213" s="444"/>
      <c r="U213" s="442">
        <f>V213+X213</f>
        <v>20</v>
      </c>
      <c r="V213" s="443">
        <v>20</v>
      </c>
      <c r="W213" s="443"/>
      <c r="X213" s="444"/>
    </row>
    <row r="214" spans="1:59" ht="18.75" customHeight="1" thickBot="1" x14ac:dyDescent="0.25">
      <c r="A214" s="2559"/>
      <c r="B214" s="2542"/>
      <c r="C214" s="2572"/>
      <c r="D214" s="2505"/>
      <c r="E214" s="2573"/>
      <c r="F214" s="2574" t="s">
        <v>156</v>
      </c>
      <c r="G214" s="2575"/>
      <c r="H214" s="2576"/>
      <c r="I214" s="363">
        <f>J214+L214</f>
        <v>20</v>
      </c>
      <c r="J214" s="387">
        <f>J213</f>
        <v>20</v>
      </c>
      <c r="K214" s="387"/>
      <c r="L214" s="388"/>
      <c r="M214" s="363">
        <f t="shared" si="111"/>
        <v>20</v>
      </c>
      <c r="N214" s="387">
        <f>N213</f>
        <v>20</v>
      </c>
      <c r="O214" s="387"/>
      <c r="P214" s="388"/>
      <c r="Q214" s="363">
        <f t="shared" si="112"/>
        <v>20</v>
      </c>
      <c r="R214" s="387">
        <f>R213</f>
        <v>20</v>
      </c>
      <c r="S214" s="387"/>
      <c r="T214" s="388"/>
      <c r="U214" s="363">
        <f t="shared" si="113"/>
        <v>20</v>
      </c>
      <c r="V214" s="387">
        <f>V213</f>
        <v>20</v>
      </c>
      <c r="W214" s="387"/>
      <c r="X214" s="388"/>
    </row>
    <row r="215" spans="1:59" ht="34.5" customHeight="1" thickBot="1" x14ac:dyDescent="0.25">
      <c r="A215" s="2557">
        <v>1</v>
      </c>
      <c r="B215" s="2545">
        <v>2</v>
      </c>
      <c r="C215" s="2566">
        <v>8</v>
      </c>
      <c r="D215" s="2503" t="s">
        <v>157</v>
      </c>
      <c r="E215" s="2510">
        <v>11</v>
      </c>
      <c r="F215" s="440" t="s">
        <v>158</v>
      </c>
      <c r="G215" s="2098" t="s">
        <v>159</v>
      </c>
      <c r="H215" s="441" t="s">
        <v>30</v>
      </c>
      <c r="I215" s="384">
        <f>J215+L215</f>
        <v>30</v>
      </c>
      <c r="J215" s="385">
        <f>40-10</f>
        <v>30</v>
      </c>
      <c r="K215" s="385"/>
      <c r="L215" s="386"/>
      <c r="M215" s="384">
        <f t="shared" si="111"/>
        <v>40</v>
      </c>
      <c r="N215" s="385">
        <v>40</v>
      </c>
      <c r="O215" s="385"/>
      <c r="P215" s="386"/>
      <c r="Q215" s="384">
        <f t="shared" si="112"/>
        <v>40</v>
      </c>
      <c r="R215" s="385">
        <v>40</v>
      </c>
      <c r="S215" s="385"/>
      <c r="T215" s="386"/>
      <c r="U215" s="384">
        <f>V215+X215</f>
        <v>40</v>
      </c>
      <c r="V215" s="385">
        <v>40</v>
      </c>
      <c r="W215" s="385"/>
      <c r="X215" s="386"/>
    </row>
    <row r="216" spans="1:59" ht="28.35" customHeight="1" thickBot="1" x14ac:dyDescent="0.25">
      <c r="A216" s="2559"/>
      <c r="B216" s="2545"/>
      <c r="C216" s="2567"/>
      <c r="D216" s="2504"/>
      <c r="E216" s="2512"/>
      <c r="F216" s="2568" t="s">
        <v>160</v>
      </c>
      <c r="G216" s="2569"/>
      <c r="H216" s="2570"/>
      <c r="I216" s="363">
        <f>J216+L216</f>
        <v>30</v>
      </c>
      <c r="J216" s="387">
        <f>J215</f>
        <v>30</v>
      </c>
      <c r="K216" s="387"/>
      <c r="L216" s="388"/>
      <c r="M216" s="363">
        <f>N216+P216</f>
        <v>40</v>
      </c>
      <c r="N216" s="387">
        <f>N215</f>
        <v>40</v>
      </c>
      <c r="O216" s="387"/>
      <c r="P216" s="388"/>
      <c r="Q216" s="363">
        <f>R216+T216</f>
        <v>40</v>
      </c>
      <c r="R216" s="387">
        <f>R215</f>
        <v>40</v>
      </c>
      <c r="S216" s="387"/>
      <c r="T216" s="388"/>
      <c r="U216" s="363">
        <f>V216+X216</f>
        <v>40</v>
      </c>
      <c r="V216" s="387">
        <f>V215</f>
        <v>40</v>
      </c>
      <c r="W216" s="387"/>
      <c r="X216" s="388"/>
    </row>
    <row r="217" spans="1:59" ht="23.25" customHeight="1" thickBot="1" x14ac:dyDescent="0.25">
      <c r="A217" s="445">
        <v>1</v>
      </c>
      <c r="B217" s="446">
        <v>2</v>
      </c>
      <c r="C217" s="2475" t="s">
        <v>134</v>
      </c>
      <c r="D217" s="2476"/>
      <c r="E217" s="2476"/>
      <c r="F217" s="2476"/>
      <c r="G217" s="2476"/>
      <c r="H217" s="2477"/>
      <c r="I217" s="404">
        <f>J217+L217</f>
        <v>1785.3000000000002</v>
      </c>
      <c r="J217" s="405">
        <f>J194+J199+J204+J206+J210+J212+J214+J216</f>
        <v>1772.9</v>
      </c>
      <c r="K217" s="405">
        <f>K194+K199+K204+K206+K210</f>
        <v>1250.6000000000001</v>
      </c>
      <c r="L217" s="447">
        <f>L194+L199+L204+L206+L210</f>
        <v>12.399999999999999</v>
      </c>
      <c r="M217" s="404">
        <f>N217+P217</f>
        <v>2055</v>
      </c>
      <c r="N217" s="405">
        <f>N194+N199+N204+N206+N210+N212+N214+N216</f>
        <v>2055</v>
      </c>
      <c r="O217" s="405">
        <f>O194+O199+O204+O206+O210</f>
        <v>1480.4</v>
      </c>
      <c r="P217" s="448">
        <f>P194+P199+P204+P206+P210</f>
        <v>0</v>
      </c>
      <c r="Q217" s="404">
        <f>R217+T217</f>
        <v>1956.1999999999998</v>
      </c>
      <c r="R217" s="405">
        <f>R194+R199+R204+R206+R210+R212+R214+R216</f>
        <v>1956.1999999999998</v>
      </c>
      <c r="S217" s="405">
        <f>S194+S199+S204+S206+S210</f>
        <v>1420.8</v>
      </c>
      <c r="T217" s="448">
        <f>T194+T199+T204+T206+T210</f>
        <v>0</v>
      </c>
      <c r="U217" s="404">
        <f>V217+X217</f>
        <v>1956.1999999999998</v>
      </c>
      <c r="V217" s="405">
        <f>V194+V199+V204+V206+V210+V212+V214+V216</f>
        <v>1956.1999999999998</v>
      </c>
      <c r="W217" s="405">
        <f>W194+W199+W204+W206+W210</f>
        <v>1420.8</v>
      </c>
      <c r="X217" s="448">
        <f>X194+X199+X204+X206+X210</f>
        <v>0</v>
      </c>
    </row>
    <row r="218" spans="1:59" ht="27.75" customHeight="1" thickBot="1" x14ac:dyDescent="0.25">
      <c r="A218" s="449">
        <v>1</v>
      </c>
      <c r="B218" s="450">
        <v>3</v>
      </c>
      <c r="C218" s="2564" t="s">
        <v>161</v>
      </c>
      <c r="D218" s="2553"/>
      <c r="E218" s="2553"/>
      <c r="F218" s="2553"/>
      <c r="G218" s="2553"/>
      <c r="H218" s="2553"/>
      <c r="I218" s="2553"/>
      <c r="J218" s="2553"/>
      <c r="K218" s="2553"/>
      <c r="L218" s="2553"/>
      <c r="M218" s="2553"/>
      <c r="N218" s="2553"/>
      <c r="O218" s="2553"/>
      <c r="P218" s="2553"/>
      <c r="Q218" s="2553"/>
      <c r="R218" s="2553"/>
      <c r="S218" s="2553"/>
      <c r="T218" s="2553"/>
      <c r="U218" s="2553"/>
      <c r="V218" s="2553"/>
      <c r="W218" s="2553"/>
      <c r="X218" s="2554"/>
    </row>
    <row r="219" spans="1:59" s="358" customFormat="1" ht="29.25" customHeight="1" x14ac:dyDescent="0.2">
      <c r="A219" s="2558">
        <v>1</v>
      </c>
      <c r="B219" s="2542">
        <v>3</v>
      </c>
      <c r="C219" s="2531">
        <v>1</v>
      </c>
      <c r="D219" s="2565" t="s">
        <v>162</v>
      </c>
      <c r="E219" s="2499" t="s">
        <v>163</v>
      </c>
      <c r="F219" s="2531" t="s">
        <v>152</v>
      </c>
      <c r="G219" s="2531" t="s">
        <v>164</v>
      </c>
      <c r="H219" s="2088" t="s">
        <v>30</v>
      </c>
      <c r="I219" s="348">
        <f t="shared" ref="I219:I220" si="114">J219+L219</f>
        <v>155.30000000000001</v>
      </c>
      <c r="J219" s="408">
        <v>155.30000000000001</v>
      </c>
      <c r="K219" s="408">
        <v>132.19999999999999</v>
      </c>
      <c r="L219" s="451"/>
      <c r="M219" s="348">
        <f t="shared" ref="M219:M230" si="115">N219+P219</f>
        <v>195.8</v>
      </c>
      <c r="N219" s="408">
        <v>195.8</v>
      </c>
      <c r="O219" s="408">
        <v>171.3</v>
      </c>
      <c r="P219" s="451">
        <v>0</v>
      </c>
      <c r="Q219" s="389">
        <f>R219+T219</f>
        <v>195.8</v>
      </c>
      <c r="R219" s="408">
        <v>195.8</v>
      </c>
      <c r="S219" s="408">
        <v>171.3</v>
      </c>
      <c r="T219" s="452">
        <v>0</v>
      </c>
      <c r="U219" s="389">
        <f>V219+X219</f>
        <v>195.8</v>
      </c>
      <c r="V219" s="408">
        <v>195.8</v>
      </c>
      <c r="W219" s="408">
        <v>171.3</v>
      </c>
      <c r="X219" s="451">
        <v>0</v>
      </c>
      <c r="Y219" s="339"/>
      <c r="Z219" s="339"/>
      <c r="AA219" s="339"/>
      <c r="AB219" s="339"/>
      <c r="AC219" s="339"/>
      <c r="AD219" s="339"/>
      <c r="AE219" s="339"/>
      <c r="AF219" s="339"/>
      <c r="AG219" s="339"/>
      <c r="AH219" s="339"/>
      <c r="AI219" s="339"/>
      <c r="AJ219" s="339"/>
      <c r="AK219" s="339"/>
      <c r="AL219" s="339"/>
      <c r="AM219" s="339"/>
      <c r="AN219" s="339"/>
      <c r="AO219" s="339"/>
      <c r="AP219" s="339"/>
      <c r="AQ219" s="339"/>
      <c r="AR219" s="339"/>
      <c r="AS219" s="339"/>
      <c r="AT219" s="339"/>
      <c r="AU219" s="339"/>
      <c r="AV219" s="339"/>
      <c r="AW219" s="339"/>
      <c r="AX219" s="339"/>
      <c r="AY219" s="339"/>
      <c r="AZ219" s="339"/>
      <c r="BA219" s="339"/>
      <c r="BB219" s="339"/>
      <c r="BC219" s="339"/>
      <c r="BD219" s="339"/>
      <c r="BE219" s="339"/>
      <c r="BF219" s="339"/>
      <c r="BG219" s="339"/>
    </row>
    <row r="220" spans="1:59" ht="21" customHeight="1" thickBot="1" x14ac:dyDescent="0.25">
      <c r="A220" s="2558"/>
      <c r="B220" s="2545"/>
      <c r="C220" s="2531"/>
      <c r="D220" s="2528"/>
      <c r="E220" s="2499"/>
      <c r="F220" s="2531"/>
      <c r="G220" s="2531"/>
      <c r="H220" s="2093" t="s">
        <v>34</v>
      </c>
      <c r="I220" s="348">
        <f t="shared" si="114"/>
        <v>70.3</v>
      </c>
      <c r="J220" s="408">
        <v>68</v>
      </c>
      <c r="K220" s="408">
        <f>10.2-4</f>
        <v>6.1999999999999993</v>
      </c>
      <c r="L220" s="451">
        <v>2.2999999999999998</v>
      </c>
      <c r="M220" s="348">
        <f t="shared" si="115"/>
        <v>103.3</v>
      </c>
      <c r="N220" s="408">
        <v>103.3</v>
      </c>
      <c r="O220" s="408">
        <v>10.1</v>
      </c>
      <c r="P220" s="451">
        <v>0</v>
      </c>
      <c r="Q220" s="348">
        <f>R220+T220</f>
        <v>103.3</v>
      </c>
      <c r="R220" s="408">
        <v>103.3</v>
      </c>
      <c r="S220" s="408">
        <v>10.1</v>
      </c>
      <c r="T220" s="451">
        <v>0</v>
      </c>
      <c r="U220" s="348">
        <f>V220+X220</f>
        <v>103.3</v>
      </c>
      <c r="V220" s="408">
        <v>103.3</v>
      </c>
      <c r="W220" s="408">
        <v>10.1</v>
      </c>
      <c r="X220" s="451">
        <v>0</v>
      </c>
    </row>
    <row r="221" spans="1:59" ht="29.25" customHeight="1" thickBot="1" x14ac:dyDescent="0.25">
      <c r="A221" s="2559"/>
      <c r="B221" s="2545"/>
      <c r="C221" s="2530"/>
      <c r="D221" s="2529"/>
      <c r="E221" s="2500"/>
      <c r="F221" s="2516" t="s">
        <v>35</v>
      </c>
      <c r="G221" s="2517"/>
      <c r="H221" s="2518"/>
      <c r="I221" s="359">
        <f t="shared" ref="I221:I230" si="116">J221+L221</f>
        <v>225.60000000000002</v>
      </c>
      <c r="J221" s="360">
        <f>SUM(J219:J220)</f>
        <v>223.3</v>
      </c>
      <c r="K221" s="360">
        <f>SUM(K219:K220)</f>
        <v>138.39999999999998</v>
      </c>
      <c r="L221" s="360">
        <f>SUM(L219:L220)</f>
        <v>2.2999999999999998</v>
      </c>
      <c r="M221" s="359">
        <f t="shared" si="115"/>
        <v>299.10000000000002</v>
      </c>
      <c r="N221" s="360">
        <f>SUM(N219:N220)</f>
        <v>299.10000000000002</v>
      </c>
      <c r="O221" s="360">
        <f>SUM(O219:O220)</f>
        <v>181.4</v>
      </c>
      <c r="P221" s="361">
        <f>SUM(P219:P220)</f>
        <v>0</v>
      </c>
      <c r="Q221" s="359">
        <f t="shared" ref="Q221:Q222" si="117">R221+T221</f>
        <v>299.10000000000002</v>
      </c>
      <c r="R221" s="360">
        <f>SUM(R219:R220)</f>
        <v>299.10000000000002</v>
      </c>
      <c r="S221" s="360">
        <f>SUM(S219:S220)</f>
        <v>181.4</v>
      </c>
      <c r="T221" s="361">
        <f>SUM(T219:T220)</f>
        <v>0</v>
      </c>
      <c r="U221" s="359">
        <f t="shared" ref="U221:U230" si="118">V221+X221</f>
        <v>299.10000000000002</v>
      </c>
      <c r="V221" s="360">
        <f>SUM(V219:V220)</f>
        <v>299.10000000000002</v>
      </c>
      <c r="W221" s="360">
        <f>SUM(W219:W220)</f>
        <v>181.4</v>
      </c>
      <c r="X221" s="361">
        <f>SUM(X219:X220)</f>
        <v>0</v>
      </c>
    </row>
    <row r="222" spans="1:59" ht="18" customHeight="1" x14ac:dyDescent="0.2">
      <c r="A222" s="2557">
        <v>1</v>
      </c>
      <c r="B222" s="2560">
        <v>3</v>
      </c>
      <c r="C222" s="2561">
        <v>2</v>
      </c>
      <c r="D222" s="2527" t="s">
        <v>165</v>
      </c>
      <c r="E222" s="453" t="s">
        <v>104</v>
      </c>
      <c r="F222" s="2085" t="s">
        <v>44</v>
      </c>
      <c r="G222" s="2085" t="s">
        <v>166</v>
      </c>
      <c r="H222" s="2091" t="s">
        <v>30</v>
      </c>
      <c r="I222" s="2084">
        <f t="shared" si="116"/>
        <v>1.5</v>
      </c>
      <c r="J222" s="413">
        <f>6-4.5</f>
        <v>1.5</v>
      </c>
      <c r="K222" s="2082"/>
      <c r="L222" s="2083"/>
      <c r="M222" s="2084">
        <f t="shared" si="115"/>
        <v>63</v>
      </c>
      <c r="N222" s="413">
        <v>63</v>
      </c>
      <c r="O222" s="2082"/>
      <c r="P222" s="2083">
        <v>0</v>
      </c>
      <c r="Q222" s="2084">
        <f t="shared" si="117"/>
        <v>63</v>
      </c>
      <c r="R222" s="413">
        <v>63</v>
      </c>
      <c r="S222" s="2082"/>
      <c r="T222" s="2083">
        <v>0</v>
      </c>
      <c r="U222" s="412">
        <f>V222+X222</f>
        <v>63</v>
      </c>
      <c r="V222" s="413">
        <v>63</v>
      </c>
      <c r="W222" s="2082"/>
      <c r="X222" s="2083">
        <v>0</v>
      </c>
    </row>
    <row r="223" spans="1:59" ht="18" customHeight="1" x14ac:dyDescent="0.2">
      <c r="A223" s="2558"/>
      <c r="B223" s="2560"/>
      <c r="C223" s="2561"/>
      <c r="D223" s="2528"/>
      <c r="E223" s="454" t="s">
        <v>37</v>
      </c>
      <c r="F223" s="2086" t="s">
        <v>44</v>
      </c>
      <c r="G223" s="2086" t="s">
        <v>166</v>
      </c>
      <c r="H223" s="2116" t="s">
        <v>30</v>
      </c>
      <c r="I223" s="2122">
        <f t="shared" si="116"/>
        <v>1.5</v>
      </c>
      <c r="J223" s="377">
        <v>1.5</v>
      </c>
      <c r="K223" s="349"/>
      <c r="L223" s="350"/>
      <c r="M223" s="348">
        <f>N223+P223</f>
        <v>3</v>
      </c>
      <c r="N223" s="377">
        <v>3</v>
      </c>
      <c r="O223" s="349"/>
      <c r="P223" s="350"/>
      <c r="Q223" s="348"/>
      <c r="R223" s="377"/>
      <c r="S223" s="349"/>
      <c r="T223" s="350"/>
      <c r="U223" s="348"/>
      <c r="V223" s="377"/>
      <c r="W223" s="349"/>
      <c r="X223" s="350"/>
    </row>
    <row r="224" spans="1:59" ht="18" customHeight="1" x14ac:dyDescent="0.2">
      <c r="A224" s="2558"/>
      <c r="B224" s="2560"/>
      <c r="C224" s="2561"/>
      <c r="D224" s="2528"/>
      <c r="E224" s="454" t="s">
        <v>43</v>
      </c>
      <c r="F224" s="2086" t="s">
        <v>44</v>
      </c>
      <c r="G224" s="2086" t="s">
        <v>166</v>
      </c>
      <c r="H224" s="2116" t="s">
        <v>30</v>
      </c>
      <c r="I224" s="2122">
        <f t="shared" si="116"/>
        <v>3</v>
      </c>
      <c r="J224" s="382">
        <v>3</v>
      </c>
      <c r="K224" s="2079"/>
      <c r="L224" s="2080"/>
      <c r="M224" s="2122">
        <f t="shared" si="115"/>
        <v>0</v>
      </c>
      <c r="N224" s="382"/>
      <c r="O224" s="2079"/>
      <c r="P224" s="2080">
        <v>0</v>
      </c>
      <c r="Q224" s="2122">
        <f t="shared" ref="Q224" si="119">R224+T224</f>
        <v>0</v>
      </c>
      <c r="R224" s="382"/>
      <c r="S224" s="2079"/>
      <c r="T224" s="2080">
        <v>0</v>
      </c>
      <c r="U224" s="2122">
        <f t="shared" si="118"/>
        <v>0</v>
      </c>
      <c r="V224" s="382"/>
      <c r="W224" s="2079"/>
      <c r="X224" s="2080">
        <v>0</v>
      </c>
    </row>
    <row r="225" spans="1:59" ht="18" customHeight="1" x14ac:dyDescent="0.2">
      <c r="A225" s="2558"/>
      <c r="B225" s="2560"/>
      <c r="C225" s="2561"/>
      <c r="D225" s="2528"/>
      <c r="E225" s="454" t="s">
        <v>47</v>
      </c>
      <c r="F225" s="2086" t="s">
        <v>44</v>
      </c>
      <c r="G225" s="2086" t="s">
        <v>166</v>
      </c>
      <c r="H225" s="2116" t="s">
        <v>30</v>
      </c>
      <c r="I225" s="2122">
        <f t="shared" si="116"/>
        <v>1.5</v>
      </c>
      <c r="J225" s="382">
        <v>1.5</v>
      </c>
      <c r="K225" s="2079"/>
      <c r="L225" s="2080"/>
      <c r="M225" s="2122">
        <f>N225+P225</f>
        <v>3</v>
      </c>
      <c r="N225" s="382">
        <v>3</v>
      </c>
      <c r="O225" s="2079"/>
      <c r="P225" s="2080"/>
      <c r="Q225" s="2122"/>
      <c r="R225" s="382"/>
      <c r="S225" s="2079"/>
      <c r="T225" s="2080"/>
      <c r="U225" s="2122"/>
      <c r="V225" s="382"/>
      <c r="W225" s="2079"/>
      <c r="X225" s="2080"/>
    </row>
    <row r="226" spans="1:59" ht="20.25" customHeight="1" x14ac:dyDescent="0.2">
      <c r="A226" s="2558"/>
      <c r="B226" s="2560"/>
      <c r="C226" s="2561"/>
      <c r="D226" s="2528"/>
      <c r="E226" s="453" t="s">
        <v>65</v>
      </c>
      <c r="F226" s="2086" t="s">
        <v>44</v>
      </c>
      <c r="G226" s="2086" t="s">
        <v>166</v>
      </c>
      <c r="H226" s="2116" t="s">
        <v>30</v>
      </c>
      <c r="I226" s="2122">
        <f t="shared" si="116"/>
        <v>3</v>
      </c>
      <c r="J226" s="382">
        <v>3</v>
      </c>
      <c r="K226" s="2079"/>
      <c r="L226" s="2080"/>
      <c r="M226" s="2122">
        <f t="shared" si="115"/>
        <v>0</v>
      </c>
      <c r="N226" s="382"/>
      <c r="O226" s="2079"/>
      <c r="P226" s="2080">
        <v>0</v>
      </c>
      <c r="Q226" s="2122">
        <f t="shared" ref="Q226" si="120">R226+T226</f>
        <v>0</v>
      </c>
      <c r="R226" s="382"/>
      <c r="S226" s="2079"/>
      <c r="T226" s="2080">
        <v>0</v>
      </c>
      <c r="U226" s="2122">
        <f t="shared" si="118"/>
        <v>0</v>
      </c>
      <c r="V226" s="382"/>
      <c r="W226" s="2079"/>
      <c r="X226" s="2080">
        <v>0</v>
      </c>
    </row>
    <row r="227" spans="1:59" ht="20.25" customHeight="1" x14ac:dyDescent="0.2">
      <c r="A227" s="2558"/>
      <c r="B227" s="2560"/>
      <c r="C227" s="2561"/>
      <c r="D227" s="2528"/>
      <c r="E227" s="453" t="s">
        <v>140</v>
      </c>
      <c r="F227" s="2086" t="s">
        <v>44</v>
      </c>
      <c r="G227" s="2086" t="s">
        <v>166</v>
      </c>
      <c r="H227" s="2116" t="s">
        <v>30</v>
      </c>
      <c r="I227" s="348">
        <f t="shared" si="116"/>
        <v>1.5</v>
      </c>
      <c r="J227" s="377">
        <v>1.5</v>
      </c>
      <c r="K227" s="349"/>
      <c r="L227" s="350"/>
      <c r="M227" s="348">
        <f>N227+P227</f>
        <v>3</v>
      </c>
      <c r="N227" s="377">
        <v>3</v>
      </c>
      <c r="O227" s="349"/>
      <c r="P227" s="350"/>
      <c r="Q227" s="348"/>
      <c r="R227" s="377"/>
      <c r="S227" s="349"/>
      <c r="T227" s="350"/>
      <c r="U227" s="348"/>
      <c r="V227" s="377"/>
      <c r="W227" s="349"/>
      <c r="X227" s="350"/>
    </row>
    <row r="228" spans="1:59" ht="19.5" customHeight="1" thickBot="1" x14ac:dyDescent="0.25">
      <c r="A228" s="2558"/>
      <c r="B228" s="2560"/>
      <c r="C228" s="2561"/>
      <c r="D228" s="2528"/>
      <c r="E228" s="453" t="s">
        <v>144</v>
      </c>
      <c r="F228" s="2087" t="s">
        <v>44</v>
      </c>
      <c r="G228" s="2087" t="s">
        <v>166</v>
      </c>
      <c r="H228" s="2101" t="s">
        <v>30</v>
      </c>
      <c r="I228" s="455">
        <f t="shared" si="116"/>
        <v>3</v>
      </c>
      <c r="J228" s="456">
        <v>3</v>
      </c>
      <c r="K228" s="457"/>
      <c r="L228" s="458"/>
      <c r="M228" s="348">
        <f t="shared" si="115"/>
        <v>0</v>
      </c>
      <c r="N228" s="377"/>
      <c r="O228" s="349"/>
      <c r="P228" s="350">
        <v>0</v>
      </c>
      <c r="Q228" s="348">
        <f t="shared" ref="Q228:Q230" si="121">R228+T228</f>
        <v>0</v>
      </c>
      <c r="R228" s="377"/>
      <c r="S228" s="349"/>
      <c r="T228" s="350">
        <v>0</v>
      </c>
      <c r="U228" s="348">
        <f t="shared" si="118"/>
        <v>0</v>
      </c>
      <c r="V228" s="377"/>
      <c r="W228" s="349"/>
      <c r="X228" s="350">
        <v>0</v>
      </c>
    </row>
    <row r="229" spans="1:59" s="358" customFormat="1" ht="18" customHeight="1" thickBot="1" x14ac:dyDescent="0.25">
      <c r="A229" s="2559"/>
      <c r="B229" s="2560"/>
      <c r="C229" s="2561"/>
      <c r="D229" s="2562"/>
      <c r="E229" s="459"/>
      <c r="F229" s="2516" t="s">
        <v>35</v>
      </c>
      <c r="G229" s="2517"/>
      <c r="H229" s="2518"/>
      <c r="I229" s="359">
        <f t="shared" si="116"/>
        <v>15</v>
      </c>
      <c r="J229" s="360">
        <f>SUM(J222:J228)</f>
        <v>15</v>
      </c>
      <c r="K229" s="360">
        <f t="shared" ref="K229:L229" si="122">SUM(K222:K228)</f>
        <v>0</v>
      </c>
      <c r="L229" s="361">
        <f t="shared" si="122"/>
        <v>0</v>
      </c>
      <c r="M229" s="359">
        <f t="shared" si="115"/>
        <v>72</v>
      </c>
      <c r="N229" s="360">
        <f>SUM(N222:N228)</f>
        <v>72</v>
      </c>
      <c r="O229" s="360">
        <f t="shared" ref="O229:P229" si="123">SUM(O222:O228)</f>
        <v>0</v>
      </c>
      <c r="P229" s="360">
        <f t="shared" si="123"/>
        <v>0</v>
      </c>
      <c r="Q229" s="359">
        <f t="shared" si="121"/>
        <v>63</v>
      </c>
      <c r="R229" s="360">
        <f>SUM(R222:R228)</f>
        <v>63</v>
      </c>
      <c r="S229" s="360">
        <f t="shared" ref="S229:T229" si="124">SUM(S222:S228)</f>
        <v>0</v>
      </c>
      <c r="T229" s="360">
        <f t="shared" si="124"/>
        <v>0</v>
      </c>
      <c r="U229" s="359">
        <f t="shared" si="118"/>
        <v>63</v>
      </c>
      <c r="V229" s="360">
        <f>SUM(V222:V228)</f>
        <v>63</v>
      </c>
      <c r="W229" s="360">
        <f t="shared" ref="W229:X229" si="125">SUM(W222:W228)</f>
        <v>0</v>
      </c>
      <c r="X229" s="361">
        <f t="shared" si="125"/>
        <v>0</v>
      </c>
      <c r="Y229" s="339"/>
      <c r="Z229" s="339"/>
      <c r="AA229" s="339"/>
      <c r="AB229" s="339"/>
      <c r="AC229" s="339"/>
      <c r="AD229" s="339"/>
      <c r="AE229" s="339"/>
      <c r="AF229" s="339"/>
      <c r="AG229" s="339"/>
      <c r="AH229" s="339"/>
      <c r="AI229" s="339"/>
      <c r="AJ229" s="339"/>
      <c r="AK229" s="339"/>
      <c r="AL229" s="339"/>
      <c r="AM229" s="339"/>
      <c r="AN229" s="339"/>
      <c r="AO229" s="339"/>
      <c r="AP229" s="339"/>
      <c r="AQ229" s="339"/>
      <c r="AR229" s="339"/>
      <c r="AS229" s="339"/>
      <c r="AT229" s="339"/>
      <c r="AU229" s="339"/>
      <c r="AV229" s="339"/>
      <c r="AW229" s="339"/>
      <c r="AX229" s="339"/>
      <c r="AY229" s="339"/>
      <c r="AZ229" s="339"/>
      <c r="BA229" s="339"/>
      <c r="BB229" s="339"/>
      <c r="BC229" s="339"/>
      <c r="BD229" s="339"/>
      <c r="BE229" s="339"/>
      <c r="BF229" s="339"/>
      <c r="BG229" s="339"/>
    </row>
    <row r="230" spans="1:59" ht="24" customHeight="1" thickBot="1" x14ac:dyDescent="0.25">
      <c r="A230" s="460">
        <v>1</v>
      </c>
      <c r="B230" s="461">
        <v>3</v>
      </c>
      <c r="C230" s="2475" t="s">
        <v>134</v>
      </c>
      <c r="D230" s="2476"/>
      <c r="E230" s="2563"/>
      <c r="F230" s="2476"/>
      <c r="G230" s="2476"/>
      <c r="H230" s="2477"/>
      <c r="I230" s="462">
        <f t="shared" si="116"/>
        <v>240.60000000000002</v>
      </c>
      <c r="J230" s="463">
        <f>SUM(J221,J229)</f>
        <v>238.3</v>
      </c>
      <c r="K230" s="463">
        <f>SUM(K221,K229)</f>
        <v>138.39999999999998</v>
      </c>
      <c r="L230" s="464">
        <f>SUM(L221,L229)</f>
        <v>2.2999999999999998</v>
      </c>
      <c r="M230" s="406">
        <f t="shared" si="115"/>
        <v>371.1</v>
      </c>
      <c r="N230" s="463">
        <f>SUM(N221,N229)</f>
        <v>371.1</v>
      </c>
      <c r="O230" s="463">
        <f>SUM(O221,O229)</f>
        <v>181.4</v>
      </c>
      <c r="P230" s="465">
        <f>SUM(P221,P229)</f>
        <v>0</v>
      </c>
      <c r="Q230" s="406">
        <f t="shared" si="121"/>
        <v>362.1</v>
      </c>
      <c r="R230" s="463">
        <f>SUM(R221,R229)</f>
        <v>362.1</v>
      </c>
      <c r="S230" s="463">
        <f>SUM(S221,S229)</f>
        <v>181.4</v>
      </c>
      <c r="T230" s="465">
        <f>SUM(T221,T229)</f>
        <v>0</v>
      </c>
      <c r="U230" s="406">
        <f t="shared" si="118"/>
        <v>362.1</v>
      </c>
      <c r="V230" s="463">
        <f>SUM(V221,V229)</f>
        <v>362.1</v>
      </c>
      <c r="W230" s="463">
        <f>SUM(W221,W229)</f>
        <v>181.4</v>
      </c>
      <c r="X230" s="465">
        <f>SUM(X221,X229)</f>
        <v>0</v>
      </c>
    </row>
    <row r="231" spans="1:59" ht="18.75" customHeight="1" thickBot="1" x14ac:dyDescent="0.25">
      <c r="A231" s="2094">
        <v>2</v>
      </c>
      <c r="B231" s="2548" t="s">
        <v>167</v>
      </c>
      <c r="C231" s="2479"/>
      <c r="D231" s="2479"/>
      <c r="E231" s="2479"/>
      <c r="F231" s="2479"/>
      <c r="G231" s="2479"/>
      <c r="H231" s="2480"/>
      <c r="I231" s="466">
        <f>SUM(I191,I217,I230,)</f>
        <v>32158.099999999995</v>
      </c>
      <c r="J231" s="467">
        <f>SUM(J191,J217,J230)</f>
        <v>31696.799999999999</v>
      </c>
      <c r="K231" s="467">
        <f>SUM(K191,K217,K230,)</f>
        <v>24712.899999999998</v>
      </c>
      <c r="L231" s="468">
        <f>SUM(L191,L217,L230,)</f>
        <v>461.30000000000007</v>
      </c>
      <c r="M231" s="466">
        <f>SUM(M191,M217,M230,)</f>
        <v>39028.300000000003</v>
      </c>
      <c r="N231" s="467">
        <f>SUM(N191,N217,N230)</f>
        <v>37936.600000000006</v>
      </c>
      <c r="O231" s="467">
        <f>SUM(O191,O217,O230,)</f>
        <v>29158.700000000004</v>
      </c>
      <c r="P231" s="469">
        <f>SUM(P191,P217,P230,)</f>
        <v>1091.7</v>
      </c>
      <c r="Q231" s="466">
        <f>SUM(Q191,Q217,Q230,)</f>
        <v>37549.099999999991</v>
      </c>
      <c r="R231" s="467">
        <f>SUM(R191,R217,R230)</f>
        <v>37349.099999999991</v>
      </c>
      <c r="S231" s="467">
        <f>SUM(S191,S217,S230,)</f>
        <v>29088.799999999999</v>
      </c>
      <c r="T231" s="469">
        <f>SUM(T191,T217,T230,)</f>
        <v>200</v>
      </c>
      <c r="U231" s="466">
        <f>SUM(U191,U217,U230,)</f>
        <v>37349.099999999991</v>
      </c>
      <c r="V231" s="467">
        <f>SUM(V191,V217,V230)</f>
        <v>37349.099999999991</v>
      </c>
      <c r="W231" s="467">
        <f>SUM(W191,W217,W230,)</f>
        <v>29088.799999999999</v>
      </c>
      <c r="X231" s="469">
        <f>SUM(X191,X217,X230,)</f>
        <v>0</v>
      </c>
    </row>
    <row r="232" spans="1:59" ht="12" thickBot="1" x14ac:dyDescent="0.25">
      <c r="A232" s="470">
        <v>2</v>
      </c>
      <c r="B232" s="2549" t="s">
        <v>168</v>
      </c>
      <c r="C232" s="2550"/>
      <c r="D232" s="2550"/>
      <c r="E232" s="2550"/>
      <c r="F232" s="2550"/>
      <c r="G232" s="2550"/>
      <c r="H232" s="2550"/>
      <c r="I232" s="2550"/>
      <c r="J232" s="2550"/>
      <c r="K232" s="2550"/>
      <c r="L232" s="2550"/>
      <c r="M232" s="2550"/>
      <c r="N232" s="2550"/>
      <c r="O232" s="2550"/>
      <c r="P232" s="2550"/>
      <c r="Q232" s="2550"/>
      <c r="R232" s="2550"/>
      <c r="S232" s="2550"/>
      <c r="T232" s="2550"/>
      <c r="U232" s="2550"/>
      <c r="V232" s="2550"/>
      <c r="W232" s="2550"/>
      <c r="X232" s="2551"/>
    </row>
    <row r="233" spans="1:59" ht="12" thickBot="1" x14ac:dyDescent="0.25">
      <c r="A233" s="471">
        <v>2</v>
      </c>
      <c r="B233" s="472">
        <v>1</v>
      </c>
      <c r="C233" s="2552" t="s">
        <v>169</v>
      </c>
      <c r="D233" s="2553"/>
      <c r="E233" s="2553"/>
      <c r="F233" s="2553"/>
      <c r="G233" s="2553"/>
      <c r="H233" s="2553"/>
      <c r="I233" s="2553"/>
      <c r="J233" s="2553"/>
      <c r="K233" s="2553"/>
      <c r="L233" s="2553"/>
      <c r="M233" s="2553"/>
      <c r="N233" s="2553"/>
      <c r="O233" s="2553"/>
      <c r="P233" s="2553"/>
      <c r="Q233" s="2553"/>
      <c r="R233" s="2553"/>
      <c r="S233" s="2553"/>
      <c r="T233" s="2553"/>
      <c r="U233" s="2553"/>
      <c r="V233" s="2553"/>
      <c r="W233" s="2553"/>
      <c r="X233" s="2554"/>
    </row>
    <row r="234" spans="1:59" ht="21.6" customHeight="1" x14ac:dyDescent="0.2">
      <c r="A234" s="2525">
        <v>2</v>
      </c>
      <c r="B234" s="2545">
        <v>1</v>
      </c>
      <c r="C234" s="2530">
        <v>1</v>
      </c>
      <c r="D234" s="2527" t="s">
        <v>170</v>
      </c>
      <c r="E234" s="2538">
        <v>11</v>
      </c>
      <c r="F234" s="2555" t="s">
        <v>147</v>
      </c>
      <c r="G234" s="2556" t="s">
        <v>171</v>
      </c>
      <c r="H234" s="2091" t="s">
        <v>30</v>
      </c>
      <c r="I234" s="348">
        <f>J234+L234</f>
        <v>5.6</v>
      </c>
      <c r="J234" s="349"/>
      <c r="K234" s="349"/>
      <c r="L234" s="350">
        <v>5.6</v>
      </c>
      <c r="M234" s="348"/>
      <c r="N234" s="349"/>
      <c r="O234" s="349"/>
      <c r="P234" s="350"/>
      <c r="Q234" s="348"/>
      <c r="R234" s="349"/>
      <c r="S234" s="349"/>
      <c r="T234" s="350"/>
      <c r="U234" s="348"/>
      <c r="V234" s="349"/>
      <c r="W234" s="349"/>
      <c r="X234" s="350"/>
    </row>
    <row r="235" spans="1:59" ht="23.1" customHeight="1" thickBot="1" x14ac:dyDescent="0.25">
      <c r="A235" s="2525"/>
      <c r="B235" s="2545"/>
      <c r="C235" s="2530"/>
      <c r="D235" s="2528"/>
      <c r="E235" s="2538"/>
      <c r="F235" s="2555"/>
      <c r="G235" s="2556"/>
      <c r="H235" s="2093" t="s">
        <v>111</v>
      </c>
      <c r="I235" s="348">
        <f>J235+L235</f>
        <v>11.1</v>
      </c>
      <c r="J235" s="349"/>
      <c r="K235" s="349"/>
      <c r="L235" s="350">
        <v>11.1</v>
      </c>
      <c r="M235" s="348"/>
      <c r="N235" s="349"/>
      <c r="O235" s="349"/>
      <c r="P235" s="350"/>
      <c r="Q235" s="348"/>
      <c r="R235" s="349"/>
      <c r="S235" s="349"/>
      <c r="T235" s="350"/>
      <c r="U235" s="348"/>
      <c r="V235" s="349"/>
      <c r="W235" s="349"/>
      <c r="X235" s="350"/>
    </row>
    <row r="236" spans="1:59" ht="31.5" customHeight="1" thickBot="1" x14ac:dyDescent="0.25">
      <c r="A236" s="2525"/>
      <c r="B236" s="2545"/>
      <c r="C236" s="2530"/>
      <c r="D236" s="2529"/>
      <c r="E236" s="2539"/>
      <c r="F236" s="2516" t="s">
        <v>35</v>
      </c>
      <c r="G236" s="2517"/>
      <c r="H236" s="2518"/>
      <c r="I236" s="360">
        <f>SUM(I234:I235)</f>
        <v>16.7</v>
      </c>
      <c r="J236" s="360">
        <f t="shared" ref="J236:L236" si="126">SUM(J234:J235)</f>
        <v>0</v>
      </c>
      <c r="K236" s="360">
        <f t="shared" si="126"/>
        <v>0</v>
      </c>
      <c r="L236" s="360">
        <f t="shared" si="126"/>
        <v>16.7</v>
      </c>
      <c r="M236" s="359">
        <f>N236+P236</f>
        <v>0</v>
      </c>
      <c r="N236" s="360">
        <f>SUM(N234:N235)</f>
        <v>0</v>
      </c>
      <c r="O236" s="360">
        <f>SUM(O234:O235)</f>
        <v>0</v>
      </c>
      <c r="P236" s="361">
        <f>SUM(P234:P235)</f>
        <v>0</v>
      </c>
      <c r="Q236" s="359">
        <f>R236+T236</f>
        <v>0</v>
      </c>
      <c r="R236" s="360">
        <f>SUM(R234:R235)</f>
        <v>0</v>
      </c>
      <c r="S236" s="360">
        <f>SUM(S234:S235)</f>
        <v>0</v>
      </c>
      <c r="T236" s="361">
        <f>SUM(T234:T235)</f>
        <v>0</v>
      </c>
      <c r="U236" s="359">
        <f>V236+X236</f>
        <v>0</v>
      </c>
      <c r="V236" s="360">
        <f>SUM(V234:V235)</f>
        <v>0</v>
      </c>
      <c r="W236" s="360">
        <f>SUM(W234:W235)</f>
        <v>0</v>
      </c>
      <c r="X236" s="361">
        <f>SUM(X234:X235)</f>
        <v>0</v>
      </c>
    </row>
    <row r="237" spans="1:59" ht="33.75" customHeight="1" thickBot="1" x14ac:dyDescent="0.25">
      <c r="A237" s="2525">
        <v>2</v>
      </c>
      <c r="B237" s="2545">
        <v>1</v>
      </c>
      <c r="C237" s="2530">
        <v>2</v>
      </c>
      <c r="D237" s="2521" t="s">
        <v>172</v>
      </c>
      <c r="E237" s="2539" t="s">
        <v>173</v>
      </c>
      <c r="F237" s="2036" t="s">
        <v>105</v>
      </c>
      <c r="G237" s="473" t="s">
        <v>1344</v>
      </c>
      <c r="H237" s="436" t="s">
        <v>30</v>
      </c>
      <c r="I237" s="348"/>
      <c r="J237" s="474"/>
      <c r="K237" s="474"/>
      <c r="L237" s="475"/>
      <c r="M237" s="348">
        <f>N237+P237</f>
        <v>90</v>
      </c>
      <c r="N237" s="474"/>
      <c r="O237" s="474"/>
      <c r="P237" s="475">
        <v>90</v>
      </c>
      <c r="Q237" s="348">
        <v>45</v>
      </c>
      <c r="R237" s="2082"/>
      <c r="S237" s="2082"/>
      <c r="T237" s="2083">
        <v>45</v>
      </c>
      <c r="U237" s="348">
        <v>45</v>
      </c>
      <c r="V237" s="2082"/>
      <c r="W237" s="2082"/>
      <c r="X237" s="2083">
        <v>45</v>
      </c>
    </row>
    <row r="238" spans="1:59" ht="24" customHeight="1" thickBot="1" x14ac:dyDescent="0.25">
      <c r="A238" s="2525"/>
      <c r="B238" s="2545"/>
      <c r="C238" s="2530"/>
      <c r="D238" s="2522"/>
      <c r="E238" s="2539"/>
      <c r="F238" s="2516" t="s">
        <v>35</v>
      </c>
      <c r="G238" s="2517"/>
      <c r="H238" s="2546"/>
      <c r="I238" s="359">
        <f t="shared" ref="I238:L238" si="127">SUM(I237:I237)</f>
        <v>0</v>
      </c>
      <c r="J238" s="374">
        <f t="shared" si="127"/>
        <v>0</v>
      </c>
      <c r="K238" s="374">
        <f t="shared" si="127"/>
        <v>0</v>
      </c>
      <c r="L238" s="476">
        <f t="shared" si="127"/>
        <v>0</v>
      </c>
      <c r="M238" s="359">
        <f>N238+P238</f>
        <v>90</v>
      </c>
      <c r="N238" s="374"/>
      <c r="O238" s="374"/>
      <c r="P238" s="476">
        <f>P237</f>
        <v>90</v>
      </c>
      <c r="Q238" s="359">
        <v>45</v>
      </c>
      <c r="R238" s="374"/>
      <c r="S238" s="374"/>
      <c r="T238" s="476">
        <v>45</v>
      </c>
      <c r="U238" s="359">
        <v>45</v>
      </c>
      <c r="V238" s="374"/>
      <c r="W238" s="374"/>
      <c r="X238" s="476">
        <v>45</v>
      </c>
    </row>
    <row r="239" spans="1:59" ht="15" customHeight="1" x14ac:dyDescent="0.2">
      <c r="A239" s="2533">
        <v>2</v>
      </c>
      <c r="B239" s="2540">
        <v>1</v>
      </c>
      <c r="C239" s="2510">
        <v>3</v>
      </c>
      <c r="D239" s="2495" t="s">
        <v>174</v>
      </c>
      <c r="E239" s="2498" t="s">
        <v>25</v>
      </c>
      <c r="F239" s="2547" t="s">
        <v>175</v>
      </c>
      <c r="G239" s="2544" t="s">
        <v>176</v>
      </c>
      <c r="H239" s="364" t="s">
        <v>30</v>
      </c>
      <c r="I239" s="2111">
        <f t="shared" ref="I239:I258" si="128">J239+L239</f>
        <v>19.700000000000003</v>
      </c>
      <c r="J239" s="2079">
        <v>3.6</v>
      </c>
      <c r="K239" s="2079"/>
      <c r="L239" s="2080">
        <v>16.100000000000001</v>
      </c>
      <c r="M239" s="2111">
        <f t="shared" ref="M239" si="129">N239+P239</f>
        <v>0</v>
      </c>
      <c r="N239" s="477"/>
      <c r="O239" s="477"/>
      <c r="P239" s="478">
        <v>0</v>
      </c>
      <c r="Q239" s="2111">
        <f t="shared" ref="Q239" si="130">R239+T239</f>
        <v>0</v>
      </c>
      <c r="R239" s="477"/>
      <c r="S239" s="477"/>
      <c r="T239" s="478">
        <v>0</v>
      </c>
      <c r="U239" s="2111">
        <f t="shared" ref="U239:U245" si="131">V239+X239</f>
        <v>0</v>
      </c>
      <c r="V239" s="477"/>
      <c r="W239" s="477"/>
      <c r="X239" s="478">
        <v>0</v>
      </c>
      <c r="Y239" s="354"/>
      <c r="Z239" s="354"/>
    </row>
    <row r="240" spans="1:59" ht="15" customHeight="1" x14ac:dyDescent="0.2">
      <c r="A240" s="2534"/>
      <c r="B240" s="2541"/>
      <c r="C240" s="2513"/>
      <c r="D240" s="2496"/>
      <c r="E240" s="2543"/>
      <c r="F240" s="2543"/>
      <c r="G240" s="2544"/>
      <c r="H240" s="375" t="s">
        <v>32</v>
      </c>
      <c r="I240" s="2111">
        <f t="shared" si="128"/>
        <v>3.3</v>
      </c>
      <c r="J240" s="2079">
        <v>2.5</v>
      </c>
      <c r="K240" s="2079"/>
      <c r="L240" s="2080">
        <v>0.8</v>
      </c>
      <c r="M240" s="2111"/>
      <c r="N240" s="477"/>
      <c r="O240" s="477"/>
      <c r="P240" s="478"/>
      <c r="Q240" s="2111"/>
      <c r="R240" s="477"/>
      <c r="S240" s="477"/>
      <c r="T240" s="478"/>
      <c r="U240" s="2111"/>
      <c r="V240" s="477"/>
      <c r="W240" s="477"/>
      <c r="X240" s="478"/>
      <c r="Y240" s="354"/>
      <c r="Z240" s="354"/>
    </row>
    <row r="241" spans="1:24" ht="15" customHeight="1" x14ac:dyDescent="0.2">
      <c r="A241" s="2534"/>
      <c r="B241" s="2541"/>
      <c r="C241" s="2513"/>
      <c r="D241" s="2496"/>
      <c r="E241" s="2498" t="s">
        <v>37</v>
      </c>
      <c r="F241" s="2498" t="s">
        <v>26</v>
      </c>
      <c r="G241" s="2544"/>
      <c r="H241" s="375" t="s">
        <v>30</v>
      </c>
      <c r="I241" s="2111">
        <f t="shared" si="128"/>
        <v>19</v>
      </c>
      <c r="J241" s="2079">
        <f>9+6.6+0.7</f>
        <v>16.3</v>
      </c>
      <c r="K241" s="2079"/>
      <c r="L241" s="2080">
        <f>1.5+1.2</f>
        <v>2.7</v>
      </c>
      <c r="M241" s="2111"/>
      <c r="N241" s="477"/>
      <c r="O241" s="477"/>
      <c r="P241" s="478"/>
      <c r="Q241" s="2111"/>
      <c r="R241" s="477"/>
      <c r="S241" s="477"/>
      <c r="T241" s="478"/>
      <c r="U241" s="2111"/>
      <c r="V241" s="477"/>
      <c r="W241" s="477"/>
      <c r="X241" s="478"/>
    </row>
    <row r="242" spans="1:24" ht="15" customHeight="1" x14ac:dyDescent="0.2">
      <c r="A242" s="2534"/>
      <c r="B242" s="2541"/>
      <c r="C242" s="2513"/>
      <c r="D242" s="2496"/>
      <c r="E242" s="2543"/>
      <c r="F242" s="2543"/>
      <c r="G242" s="2544"/>
      <c r="H242" s="375" t="s">
        <v>32</v>
      </c>
      <c r="I242" s="2111">
        <f t="shared" si="128"/>
        <v>2.9</v>
      </c>
      <c r="J242" s="2079">
        <v>0.6</v>
      </c>
      <c r="K242" s="2079"/>
      <c r="L242" s="2080">
        <v>2.2999999999999998</v>
      </c>
      <c r="M242" s="2111"/>
      <c r="N242" s="477"/>
      <c r="O242" s="477"/>
      <c r="P242" s="478"/>
      <c r="Q242" s="2111"/>
      <c r="R242" s="477"/>
      <c r="S242" s="477"/>
      <c r="T242" s="478"/>
      <c r="U242" s="2111"/>
      <c r="V242" s="477"/>
      <c r="W242" s="477"/>
      <c r="X242" s="478"/>
    </row>
    <row r="243" spans="1:24" ht="15" customHeight="1" x14ac:dyDescent="0.2">
      <c r="A243" s="2534"/>
      <c r="B243" s="2541"/>
      <c r="C243" s="2513"/>
      <c r="D243" s="2496"/>
      <c r="E243" s="2498" t="s">
        <v>43</v>
      </c>
      <c r="F243" s="2498" t="s">
        <v>44</v>
      </c>
      <c r="G243" s="2544"/>
      <c r="H243" s="375" t="s">
        <v>30</v>
      </c>
      <c r="I243" s="2111">
        <f t="shared" si="128"/>
        <v>14.8</v>
      </c>
      <c r="J243" s="2079">
        <f>4.3+7.5</f>
        <v>11.8</v>
      </c>
      <c r="K243" s="2079"/>
      <c r="L243" s="2080">
        <v>3</v>
      </c>
      <c r="M243" s="2111"/>
      <c r="N243" s="477"/>
      <c r="O243" s="477"/>
      <c r="P243" s="478"/>
      <c r="Q243" s="2111"/>
      <c r="R243" s="477"/>
      <c r="S243" s="477"/>
      <c r="T243" s="478"/>
      <c r="U243" s="2111"/>
      <c r="V243" s="477"/>
      <c r="W243" s="477"/>
      <c r="X243" s="478"/>
    </row>
    <row r="244" spans="1:24" ht="15" customHeight="1" x14ac:dyDescent="0.2">
      <c r="A244" s="2534"/>
      <c r="B244" s="2541"/>
      <c r="C244" s="2513"/>
      <c r="D244" s="2496"/>
      <c r="E244" s="2543"/>
      <c r="F244" s="2543"/>
      <c r="G244" s="2544"/>
      <c r="H244" s="375" t="s">
        <v>32</v>
      </c>
      <c r="I244" s="2111">
        <f t="shared" si="128"/>
        <v>0.8</v>
      </c>
      <c r="J244" s="2079"/>
      <c r="K244" s="2079"/>
      <c r="L244" s="2080">
        <v>0.8</v>
      </c>
      <c r="M244" s="2111"/>
      <c r="N244" s="477"/>
      <c r="O244" s="477"/>
      <c r="P244" s="478"/>
      <c r="Q244" s="2111"/>
      <c r="R244" s="477"/>
      <c r="S244" s="477"/>
      <c r="T244" s="478"/>
      <c r="U244" s="2111"/>
      <c r="V244" s="477"/>
      <c r="W244" s="477"/>
      <c r="X244" s="478"/>
    </row>
    <row r="245" spans="1:24" ht="15" customHeight="1" x14ac:dyDescent="0.2">
      <c r="A245" s="2534"/>
      <c r="B245" s="2541"/>
      <c r="C245" s="2513"/>
      <c r="D245" s="2496"/>
      <c r="E245" s="2498" t="s">
        <v>47</v>
      </c>
      <c r="F245" s="2498" t="s">
        <v>177</v>
      </c>
      <c r="G245" s="2544"/>
      <c r="H245" s="375" t="s">
        <v>30</v>
      </c>
      <c r="I245" s="2122">
        <f t="shared" si="128"/>
        <v>15.9</v>
      </c>
      <c r="J245" s="2079">
        <v>7.9</v>
      </c>
      <c r="K245" s="2079"/>
      <c r="L245" s="2080">
        <f>2.5+5.5</f>
        <v>8</v>
      </c>
      <c r="M245" s="2122">
        <f t="shared" ref="M245:M252" si="132">N245+P245</f>
        <v>0</v>
      </c>
      <c r="N245" s="477"/>
      <c r="O245" s="477"/>
      <c r="P245" s="478">
        <v>0</v>
      </c>
      <c r="Q245" s="2122">
        <f t="shared" ref="Q245" si="133">R245+T245</f>
        <v>0</v>
      </c>
      <c r="R245" s="477"/>
      <c r="S245" s="477"/>
      <c r="T245" s="478">
        <v>0</v>
      </c>
      <c r="U245" s="2122">
        <f t="shared" si="131"/>
        <v>0</v>
      </c>
      <c r="V245" s="477"/>
      <c r="W245" s="477"/>
      <c r="X245" s="478">
        <v>0</v>
      </c>
    </row>
    <row r="246" spans="1:24" ht="15" customHeight="1" x14ac:dyDescent="0.2">
      <c r="A246" s="2534"/>
      <c r="B246" s="2541"/>
      <c r="C246" s="2513"/>
      <c r="D246" s="2496"/>
      <c r="E246" s="2543"/>
      <c r="F246" s="2543"/>
      <c r="G246" s="2544"/>
      <c r="H246" s="375" t="s">
        <v>32</v>
      </c>
      <c r="I246" s="2122">
        <f t="shared" si="128"/>
        <v>4.8</v>
      </c>
      <c r="J246" s="2079">
        <v>4.8</v>
      </c>
      <c r="K246" s="2079"/>
      <c r="L246" s="2080">
        <v>0</v>
      </c>
      <c r="M246" s="2122"/>
      <c r="N246" s="477"/>
      <c r="O246" s="477"/>
      <c r="P246" s="478"/>
      <c r="Q246" s="2122"/>
      <c r="R246" s="477"/>
      <c r="S246" s="477"/>
      <c r="T246" s="478"/>
      <c r="U246" s="2122"/>
      <c r="V246" s="477"/>
      <c r="W246" s="477"/>
      <c r="X246" s="478"/>
    </row>
    <row r="247" spans="1:24" ht="15" customHeight="1" x14ac:dyDescent="0.2">
      <c r="A247" s="2534"/>
      <c r="B247" s="2541"/>
      <c r="C247" s="2513"/>
      <c r="D247" s="2496"/>
      <c r="E247" s="2498" t="s">
        <v>50</v>
      </c>
      <c r="F247" s="2498" t="s">
        <v>177</v>
      </c>
      <c r="G247" s="2544"/>
      <c r="H247" s="375" t="s">
        <v>30</v>
      </c>
      <c r="I247" s="2122">
        <f t="shared" si="128"/>
        <v>34.799999999999997</v>
      </c>
      <c r="J247" s="2079">
        <f>14.6+3.3</f>
        <v>17.899999999999999</v>
      </c>
      <c r="K247" s="2079"/>
      <c r="L247" s="2080">
        <f>13.9+3</f>
        <v>16.899999999999999</v>
      </c>
      <c r="M247" s="2122">
        <f t="shared" si="132"/>
        <v>0</v>
      </c>
      <c r="N247" s="477"/>
      <c r="O247" s="477"/>
      <c r="P247" s="478">
        <v>0</v>
      </c>
      <c r="Q247" s="2122">
        <f t="shared" ref="Q247" si="134">R247+T247</f>
        <v>0</v>
      </c>
      <c r="R247" s="477"/>
      <c r="S247" s="477"/>
      <c r="T247" s="478">
        <v>0</v>
      </c>
      <c r="U247" s="2122">
        <f t="shared" ref="U247:U258" si="135">V247+X247</f>
        <v>0</v>
      </c>
      <c r="V247" s="477"/>
      <c r="W247" s="477"/>
      <c r="X247" s="478">
        <v>0</v>
      </c>
    </row>
    <row r="248" spans="1:24" ht="15" customHeight="1" x14ac:dyDescent="0.2">
      <c r="A248" s="2534"/>
      <c r="B248" s="2541"/>
      <c r="C248" s="2513"/>
      <c r="D248" s="2496"/>
      <c r="E248" s="2543"/>
      <c r="F248" s="2543"/>
      <c r="G248" s="2544"/>
      <c r="H248" s="407" t="s">
        <v>32</v>
      </c>
      <c r="I248" s="429">
        <f>J248+L248</f>
        <v>7.8</v>
      </c>
      <c r="J248" s="349">
        <v>7</v>
      </c>
      <c r="K248" s="380"/>
      <c r="L248" s="383">
        <v>0.8</v>
      </c>
      <c r="M248" s="429"/>
      <c r="N248" s="479"/>
      <c r="O248" s="479"/>
      <c r="P248" s="480"/>
      <c r="Q248" s="429"/>
      <c r="R248" s="479"/>
      <c r="S248" s="479"/>
      <c r="T248" s="480"/>
      <c r="U248" s="429"/>
      <c r="V248" s="479"/>
      <c r="W248" s="479"/>
      <c r="X248" s="480"/>
    </row>
    <row r="249" spans="1:24" ht="15" customHeight="1" x14ac:dyDescent="0.2">
      <c r="A249" s="2534"/>
      <c r="B249" s="2541"/>
      <c r="C249" s="2513"/>
      <c r="D249" s="2496"/>
      <c r="E249" s="2498" t="s">
        <v>40</v>
      </c>
      <c r="F249" s="2498" t="s">
        <v>175</v>
      </c>
      <c r="G249" s="2544"/>
      <c r="H249" s="375" t="s">
        <v>30</v>
      </c>
      <c r="I249" s="2111">
        <f t="shared" si="128"/>
        <v>10.600000000000001</v>
      </c>
      <c r="J249" s="2079">
        <f>4.7+2</f>
        <v>6.7</v>
      </c>
      <c r="K249" s="2079"/>
      <c r="L249" s="2080">
        <f>2.1+1.8</f>
        <v>3.9000000000000004</v>
      </c>
      <c r="M249" s="2111">
        <f t="shared" si="132"/>
        <v>0</v>
      </c>
      <c r="N249" s="477"/>
      <c r="O249" s="477"/>
      <c r="P249" s="478">
        <v>0</v>
      </c>
      <c r="Q249" s="2111">
        <f t="shared" ref="Q249" si="136">R249+T249</f>
        <v>0</v>
      </c>
      <c r="R249" s="477"/>
      <c r="S249" s="477"/>
      <c r="T249" s="478">
        <v>0</v>
      </c>
      <c r="U249" s="2111">
        <f t="shared" si="135"/>
        <v>0</v>
      </c>
      <c r="V249" s="477"/>
      <c r="W249" s="477"/>
      <c r="X249" s="478">
        <v>0</v>
      </c>
    </row>
    <row r="250" spans="1:24" ht="15" customHeight="1" x14ac:dyDescent="0.2">
      <c r="A250" s="2534"/>
      <c r="B250" s="2541"/>
      <c r="C250" s="2513"/>
      <c r="D250" s="2496"/>
      <c r="E250" s="2543"/>
      <c r="F250" s="2543"/>
      <c r="G250" s="2544"/>
      <c r="H250" s="375" t="s">
        <v>32</v>
      </c>
      <c r="I250" s="2111">
        <f>J250+L250</f>
        <v>0.8</v>
      </c>
      <c r="J250" s="2079"/>
      <c r="K250" s="2079"/>
      <c r="L250" s="2080">
        <v>0.8</v>
      </c>
      <c r="M250" s="2111"/>
      <c r="N250" s="477"/>
      <c r="O250" s="477"/>
      <c r="P250" s="478"/>
      <c r="Q250" s="2111"/>
      <c r="R250" s="477"/>
      <c r="S250" s="477"/>
      <c r="T250" s="478"/>
      <c r="U250" s="2111"/>
      <c r="V250" s="477"/>
      <c r="W250" s="477"/>
      <c r="X250" s="478"/>
    </row>
    <row r="251" spans="1:24" ht="15" customHeight="1" x14ac:dyDescent="0.2">
      <c r="A251" s="2534"/>
      <c r="B251" s="2541"/>
      <c r="C251" s="2513"/>
      <c r="D251" s="2496"/>
      <c r="E251" s="2090" t="s">
        <v>53</v>
      </c>
      <c r="F251" s="2095" t="s">
        <v>175</v>
      </c>
      <c r="G251" s="2544"/>
      <c r="H251" s="375" t="s">
        <v>30</v>
      </c>
      <c r="I251" s="2111">
        <f t="shared" si="128"/>
        <v>33.4</v>
      </c>
      <c r="J251" s="2079">
        <f>6.4+7</f>
        <v>13.4</v>
      </c>
      <c r="K251" s="2079"/>
      <c r="L251" s="2080">
        <f>16.6+2+1.4</f>
        <v>20</v>
      </c>
      <c r="M251" s="2111">
        <f t="shared" si="132"/>
        <v>0</v>
      </c>
      <c r="N251" s="477"/>
      <c r="O251" s="477"/>
      <c r="P251" s="478">
        <v>0</v>
      </c>
      <c r="Q251" s="2111">
        <f t="shared" ref="Q251:Q252" si="137">R251+T251</f>
        <v>0</v>
      </c>
      <c r="R251" s="477"/>
      <c r="S251" s="477"/>
      <c r="T251" s="478">
        <v>0</v>
      </c>
      <c r="U251" s="2111">
        <f t="shared" si="135"/>
        <v>0</v>
      </c>
      <c r="V251" s="477"/>
      <c r="W251" s="477"/>
      <c r="X251" s="478">
        <v>0</v>
      </c>
    </row>
    <row r="252" spans="1:24" ht="15" customHeight="1" x14ac:dyDescent="0.2">
      <c r="A252" s="2534"/>
      <c r="B252" s="2541"/>
      <c r="C252" s="2513"/>
      <c r="D252" s="2496"/>
      <c r="E252" s="2498" t="s">
        <v>56</v>
      </c>
      <c r="F252" s="2498" t="s">
        <v>175</v>
      </c>
      <c r="G252" s="2544"/>
      <c r="H252" s="375" t="s">
        <v>30</v>
      </c>
      <c r="I252" s="2111">
        <f t="shared" si="128"/>
        <v>13.500000000000002</v>
      </c>
      <c r="J252" s="2079">
        <f>8.8+3.8</f>
        <v>12.600000000000001</v>
      </c>
      <c r="K252" s="2079"/>
      <c r="L252" s="2080">
        <v>0.9</v>
      </c>
      <c r="M252" s="2111">
        <f t="shared" si="132"/>
        <v>0</v>
      </c>
      <c r="N252" s="477"/>
      <c r="O252" s="477"/>
      <c r="P252" s="478">
        <v>0</v>
      </c>
      <c r="Q252" s="2111">
        <f t="shared" si="137"/>
        <v>0</v>
      </c>
      <c r="R252" s="477"/>
      <c r="S252" s="477"/>
      <c r="T252" s="478">
        <v>0</v>
      </c>
      <c r="U252" s="2111">
        <f t="shared" si="135"/>
        <v>0</v>
      </c>
      <c r="V252" s="477"/>
      <c r="W252" s="477"/>
      <c r="X252" s="478">
        <v>0</v>
      </c>
    </row>
    <row r="253" spans="1:24" ht="15" customHeight="1" x14ac:dyDescent="0.2">
      <c r="A253" s="2534"/>
      <c r="B253" s="2541"/>
      <c r="C253" s="2513"/>
      <c r="D253" s="2496"/>
      <c r="E253" s="2543"/>
      <c r="F253" s="2543"/>
      <c r="G253" s="2544"/>
      <c r="H253" s="375" t="s">
        <v>32</v>
      </c>
      <c r="I253" s="2111">
        <f>J253+L253</f>
        <v>1.9000000000000001</v>
      </c>
      <c r="J253" s="2079">
        <v>1.1000000000000001</v>
      </c>
      <c r="K253" s="2079"/>
      <c r="L253" s="2080">
        <v>0.8</v>
      </c>
      <c r="M253" s="2111"/>
      <c r="N253" s="477"/>
      <c r="O253" s="477"/>
      <c r="P253" s="478"/>
      <c r="Q253" s="2111"/>
      <c r="R253" s="477"/>
      <c r="S253" s="477"/>
      <c r="T253" s="478"/>
      <c r="U253" s="2111"/>
      <c r="V253" s="477"/>
      <c r="W253" s="477"/>
      <c r="X253" s="478"/>
    </row>
    <row r="254" spans="1:24" ht="15" customHeight="1" x14ac:dyDescent="0.2">
      <c r="A254" s="2534"/>
      <c r="B254" s="2541"/>
      <c r="C254" s="2513"/>
      <c r="D254" s="2496"/>
      <c r="E254" s="2498" t="s">
        <v>59</v>
      </c>
      <c r="F254" s="2498" t="s">
        <v>175</v>
      </c>
      <c r="G254" s="2544"/>
      <c r="H254" s="375" t="s">
        <v>30</v>
      </c>
      <c r="I254" s="2111">
        <f t="shared" si="128"/>
        <v>35</v>
      </c>
      <c r="J254" s="2079">
        <v>4.8</v>
      </c>
      <c r="K254" s="2079"/>
      <c r="L254" s="2080">
        <f>25.5+4.7</f>
        <v>30.2</v>
      </c>
      <c r="M254" s="2111"/>
      <c r="N254" s="477"/>
      <c r="O254" s="477"/>
      <c r="P254" s="478"/>
      <c r="Q254" s="2111"/>
      <c r="R254" s="477"/>
      <c r="S254" s="477"/>
      <c r="T254" s="478"/>
      <c r="U254" s="2111"/>
      <c r="V254" s="477"/>
      <c r="W254" s="477"/>
      <c r="X254" s="478"/>
    </row>
    <row r="255" spans="1:24" ht="15" customHeight="1" x14ac:dyDescent="0.2">
      <c r="A255" s="2534"/>
      <c r="B255" s="2541"/>
      <c r="C255" s="2513"/>
      <c r="D255" s="2496"/>
      <c r="E255" s="2543"/>
      <c r="F255" s="2543"/>
      <c r="G255" s="2544"/>
      <c r="H255" s="375" t="s">
        <v>32</v>
      </c>
      <c r="I255" s="2111">
        <f>J255+L255</f>
        <v>3.2</v>
      </c>
      <c r="J255" s="2079">
        <v>2.4</v>
      </c>
      <c r="K255" s="2079"/>
      <c r="L255" s="2080">
        <v>0.8</v>
      </c>
      <c r="M255" s="2111"/>
      <c r="N255" s="477"/>
      <c r="O255" s="477"/>
      <c r="P255" s="478"/>
      <c r="Q255" s="2111"/>
      <c r="R255" s="477"/>
      <c r="S255" s="477"/>
      <c r="T255" s="478"/>
      <c r="U255" s="2111"/>
      <c r="V255" s="477"/>
      <c r="W255" s="477"/>
      <c r="X255" s="478"/>
    </row>
    <row r="256" spans="1:24" ht="15" customHeight="1" x14ac:dyDescent="0.2">
      <c r="A256" s="2534"/>
      <c r="B256" s="2541"/>
      <c r="C256" s="2513"/>
      <c r="D256" s="2496"/>
      <c r="E256" s="2498" t="s">
        <v>62</v>
      </c>
      <c r="F256" s="2498" t="s">
        <v>175</v>
      </c>
      <c r="G256" s="2544"/>
      <c r="H256" s="375" t="s">
        <v>30</v>
      </c>
      <c r="I256" s="2111">
        <f t="shared" si="128"/>
        <v>14.7</v>
      </c>
      <c r="J256" s="2079">
        <v>2.5</v>
      </c>
      <c r="K256" s="2079"/>
      <c r="L256" s="2080">
        <f>9.7+2.5</f>
        <v>12.2</v>
      </c>
      <c r="M256" s="2111">
        <f t="shared" ref="M256:M258" si="138">N256+P256</f>
        <v>0</v>
      </c>
      <c r="N256" s="477"/>
      <c r="O256" s="477"/>
      <c r="P256" s="478">
        <v>0</v>
      </c>
      <c r="Q256" s="2111">
        <f t="shared" ref="Q256" si="139">R256+T256</f>
        <v>0</v>
      </c>
      <c r="R256" s="477"/>
      <c r="S256" s="477"/>
      <c r="T256" s="478">
        <v>0</v>
      </c>
      <c r="U256" s="2111">
        <f t="shared" si="135"/>
        <v>0</v>
      </c>
      <c r="V256" s="477"/>
      <c r="W256" s="477"/>
      <c r="X256" s="478">
        <v>0</v>
      </c>
    </row>
    <row r="257" spans="1:24" ht="15" customHeight="1" x14ac:dyDescent="0.2">
      <c r="A257" s="2534"/>
      <c r="B257" s="2541"/>
      <c r="C257" s="2513"/>
      <c r="D257" s="2496"/>
      <c r="E257" s="2543"/>
      <c r="F257" s="2543"/>
      <c r="G257" s="2544"/>
      <c r="H257" s="375" t="s">
        <v>32</v>
      </c>
      <c r="I257" s="2111">
        <f>J257+L257</f>
        <v>2.2000000000000002</v>
      </c>
      <c r="J257" s="2079">
        <v>0.7</v>
      </c>
      <c r="K257" s="2079"/>
      <c r="L257" s="2080">
        <v>1.5</v>
      </c>
      <c r="M257" s="2111"/>
      <c r="N257" s="477"/>
      <c r="O257" s="477"/>
      <c r="P257" s="478"/>
      <c r="Q257" s="2111"/>
      <c r="R257" s="477"/>
      <c r="S257" s="477"/>
      <c r="T257" s="478"/>
      <c r="U257" s="2111"/>
      <c r="V257" s="477"/>
      <c r="W257" s="477"/>
      <c r="X257" s="478"/>
    </row>
    <row r="258" spans="1:24" ht="15" customHeight="1" x14ac:dyDescent="0.2">
      <c r="A258" s="2534"/>
      <c r="B258" s="2541"/>
      <c r="C258" s="2513"/>
      <c r="D258" s="2496"/>
      <c r="E258" s="2090" t="s">
        <v>65</v>
      </c>
      <c r="F258" s="2095" t="s">
        <v>175</v>
      </c>
      <c r="G258" s="2544"/>
      <c r="H258" s="375" t="s">
        <v>30</v>
      </c>
      <c r="I258" s="2111">
        <f t="shared" si="128"/>
        <v>94.6</v>
      </c>
      <c r="J258" s="2079">
        <f>68.3+6</f>
        <v>74.3</v>
      </c>
      <c r="K258" s="2079"/>
      <c r="L258" s="2080">
        <f>14.7+11-5.4</f>
        <v>20.299999999999997</v>
      </c>
      <c r="M258" s="2111">
        <f t="shared" si="138"/>
        <v>0</v>
      </c>
      <c r="N258" s="477"/>
      <c r="O258" s="477"/>
      <c r="P258" s="478">
        <v>0</v>
      </c>
      <c r="Q258" s="2111">
        <f t="shared" ref="Q258" si="140">R258+T258</f>
        <v>0</v>
      </c>
      <c r="R258" s="477"/>
      <c r="S258" s="477"/>
      <c r="T258" s="478">
        <v>0</v>
      </c>
      <c r="U258" s="2111">
        <f t="shared" si="135"/>
        <v>0</v>
      </c>
      <c r="V258" s="477"/>
      <c r="W258" s="477"/>
      <c r="X258" s="478">
        <v>0</v>
      </c>
    </row>
    <row r="259" spans="1:24" ht="15" customHeight="1" x14ac:dyDescent="0.2">
      <c r="A259" s="2534"/>
      <c r="B259" s="2541"/>
      <c r="C259" s="2513"/>
      <c r="D259" s="2496"/>
      <c r="E259" s="2498" t="s">
        <v>68</v>
      </c>
      <c r="F259" s="2498" t="s">
        <v>158</v>
      </c>
      <c r="G259" s="2544"/>
      <c r="H259" s="375" t="s">
        <v>30</v>
      </c>
      <c r="I259" s="2111">
        <f>J259+L259</f>
        <v>14</v>
      </c>
      <c r="J259" s="2079">
        <v>0.5</v>
      </c>
      <c r="K259" s="2079"/>
      <c r="L259" s="2080">
        <v>13.5</v>
      </c>
      <c r="M259" s="2111"/>
      <c r="N259" s="477"/>
      <c r="O259" s="477"/>
      <c r="P259" s="478"/>
      <c r="Q259" s="2111"/>
      <c r="R259" s="477"/>
      <c r="S259" s="477"/>
      <c r="T259" s="478"/>
      <c r="U259" s="2111"/>
      <c r="V259" s="477"/>
      <c r="W259" s="477"/>
      <c r="X259" s="478"/>
    </row>
    <row r="260" spans="1:24" ht="15" customHeight="1" x14ac:dyDescent="0.2">
      <c r="A260" s="2534"/>
      <c r="B260" s="2541"/>
      <c r="C260" s="2513"/>
      <c r="D260" s="2496"/>
      <c r="E260" s="2543"/>
      <c r="F260" s="2543"/>
      <c r="G260" s="2544"/>
      <c r="H260" s="375" t="s">
        <v>32</v>
      </c>
      <c r="I260" s="2111">
        <f>J260+L260</f>
        <v>0.8</v>
      </c>
      <c r="J260" s="2079"/>
      <c r="K260" s="2079"/>
      <c r="L260" s="2080">
        <v>0.8</v>
      </c>
      <c r="M260" s="2111"/>
      <c r="N260" s="477"/>
      <c r="O260" s="477"/>
      <c r="P260" s="478"/>
      <c r="Q260" s="2111"/>
      <c r="R260" s="477"/>
      <c r="S260" s="477"/>
      <c r="T260" s="478"/>
      <c r="U260" s="2111"/>
      <c r="V260" s="477"/>
      <c r="W260" s="477"/>
      <c r="X260" s="478"/>
    </row>
    <row r="261" spans="1:24" ht="15" customHeight="1" x14ac:dyDescent="0.2">
      <c r="A261" s="2534"/>
      <c r="B261" s="2541"/>
      <c r="C261" s="2513"/>
      <c r="D261" s="2496"/>
      <c r="E261" s="2090" t="s">
        <v>72</v>
      </c>
      <c r="F261" s="2095" t="s">
        <v>175</v>
      </c>
      <c r="G261" s="2544"/>
      <c r="H261" s="375" t="s">
        <v>30</v>
      </c>
      <c r="I261" s="2111">
        <f t="shared" ref="I261:I267" si="141">J261+L261</f>
        <v>12.900000000000002</v>
      </c>
      <c r="J261" s="2079">
        <f>4.4+4.2+1.6</f>
        <v>10.200000000000001</v>
      </c>
      <c r="K261" s="2079"/>
      <c r="L261" s="2080">
        <f>1.9+0.8</f>
        <v>2.7</v>
      </c>
      <c r="M261" s="2111">
        <f t="shared" ref="M261:M266" si="142">N261+P261</f>
        <v>0</v>
      </c>
      <c r="N261" s="477"/>
      <c r="O261" s="477"/>
      <c r="P261" s="478">
        <v>0</v>
      </c>
      <c r="Q261" s="2111">
        <f t="shared" ref="Q261:Q266" si="143">R261+T261</f>
        <v>0</v>
      </c>
      <c r="R261" s="477"/>
      <c r="S261" s="477"/>
      <c r="T261" s="478">
        <v>0</v>
      </c>
      <c r="U261" s="2111">
        <f t="shared" ref="U261:U285" si="144">V261+X261</f>
        <v>0</v>
      </c>
      <c r="V261" s="477"/>
      <c r="W261" s="477"/>
      <c r="X261" s="478">
        <v>0</v>
      </c>
    </row>
    <row r="262" spans="1:24" ht="15" customHeight="1" x14ac:dyDescent="0.2">
      <c r="A262" s="2534"/>
      <c r="B262" s="2541"/>
      <c r="C262" s="2513"/>
      <c r="D262" s="2496"/>
      <c r="E262" s="2090" t="s">
        <v>178</v>
      </c>
      <c r="F262" s="2095" t="s">
        <v>175</v>
      </c>
      <c r="G262" s="2544"/>
      <c r="H262" s="375" t="s">
        <v>30</v>
      </c>
      <c r="I262" s="2111">
        <f t="shared" si="141"/>
        <v>0</v>
      </c>
      <c r="J262" s="2079"/>
      <c r="K262" s="2079"/>
      <c r="L262" s="2080"/>
      <c r="M262" s="2111">
        <f t="shared" si="142"/>
        <v>0</v>
      </c>
      <c r="N262" s="477"/>
      <c r="O262" s="477"/>
      <c r="P262" s="478">
        <v>0</v>
      </c>
      <c r="Q262" s="2111">
        <f t="shared" si="143"/>
        <v>0</v>
      </c>
      <c r="R262" s="477"/>
      <c r="S262" s="477"/>
      <c r="T262" s="478">
        <v>0</v>
      </c>
      <c r="U262" s="2111">
        <f t="shared" si="144"/>
        <v>0</v>
      </c>
      <c r="V262" s="477"/>
      <c r="W262" s="477"/>
      <c r="X262" s="478">
        <v>0</v>
      </c>
    </row>
    <row r="263" spans="1:24" ht="15" customHeight="1" x14ac:dyDescent="0.2">
      <c r="A263" s="2534"/>
      <c r="B263" s="2541"/>
      <c r="C263" s="2513"/>
      <c r="D263" s="2496"/>
      <c r="E263" s="2090" t="s">
        <v>75</v>
      </c>
      <c r="F263" s="2095" t="s">
        <v>175</v>
      </c>
      <c r="G263" s="2544"/>
      <c r="H263" s="375" t="s">
        <v>30</v>
      </c>
      <c r="I263" s="2111">
        <f t="shared" si="141"/>
        <v>26.3</v>
      </c>
      <c r="J263" s="2079">
        <f>14.9+1+4.1</f>
        <v>20</v>
      </c>
      <c r="K263" s="2079"/>
      <c r="L263" s="2080">
        <f>6.8+2-4.1+1.6</f>
        <v>6.3000000000000007</v>
      </c>
      <c r="M263" s="2111">
        <f t="shared" si="142"/>
        <v>0</v>
      </c>
      <c r="N263" s="477"/>
      <c r="O263" s="477"/>
      <c r="P263" s="478">
        <v>0</v>
      </c>
      <c r="Q263" s="2111">
        <f t="shared" si="143"/>
        <v>0</v>
      </c>
      <c r="R263" s="477"/>
      <c r="S263" s="477"/>
      <c r="T263" s="478">
        <v>0</v>
      </c>
      <c r="U263" s="2111">
        <f t="shared" si="144"/>
        <v>0</v>
      </c>
      <c r="V263" s="477"/>
      <c r="W263" s="477"/>
      <c r="X263" s="478">
        <v>0</v>
      </c>
    </row>
    <row r="264" spans="1:24" ht="15" customHeight="1" x14ac:dyDescent="0.2">
      <c r="A264" s="2534"/>
      <c r="B264" s="2541"/>
      <c r="C264" s="2513"/>
      <c r="D264" s="2496"/>
      <c r="E264" s="2090" t="s">
        <v>78</v>
      </c>
      <c r="F264" s="2095" t="s">
        <v>179</v>
      </c>
      <c r="G264" s="2544"/>
      <c r="H264" s="375" t="s">
        <v>30</v>
      </c>
      <c r="I264" s="2111">
        <f t="shared" si="141"/>
        <v>11.3</v>
      </c>
      <c r="J264" s="2079">
        <v>1.8</v>
      </c>
      <c r="K264" s="2079"/>
      <c r="L264" s="2080">
        <f>5.4+4.1</f>
        <v>9.5</v>
      </c>
      <c r="M264" s="2111">
        <f t="shared" si="142"/>
        <v>0</v>
      </c>
      <c r="N264" s="477"/>
      <c r="O264" s="477"/>
      <c r="P264" s="478">
        <v>0</v>
      </c>
      <c r="Q264" s="2111">
        <f t="shared" si="143"/>
        <v>0</v>
      </c>
      <c r="R264" s="477"/>
      <c r="S264" s="477"/>
      <c r="T264" s="478">
        <v>0</v>
      </c>
      <c r="U264" s="2111">
        <f t="shared" si="144"/>
        <v>0</v>
      </c>
      <c r="V264" s="477"/>
      <c r="W264" s="477"/>
      <c r="X264" s="478">
        <v>0</v>
      </c>
    </row>
    <row r="265" spans="1:24" ht="15" customHeight="1" x14ac:dyDescent="0.2">
      <c r="A265" s="2534"/>
      <c r="B265" s="2541"/>
      <c r="C265" s="2513"/>
      <c r="D265" s="2496"/>
      <c r="E265" s="2090" t="s">
        <v>82</v>
      </c>
      <c r="F265" s="2095" t="s">
        <v>179</v>
      </c>
      <c r="G265" s="2544"/>
      <c r="H265" s="375" t="s">
        <v>30</v>
      </c>
      <c r="I265" s="2111">
        <f t="shared" si="141"/>
        <v>11.2</v>
      </c>
      <c r="J265" s="2079">
        <v>0.4</v>
      </c>
      <c r="K265" s="2079"/>
      <c r="L265" s="2080">
        <f>3.5+5.6+1.7</f>
        <v>10.799999999999999</v>
      </c>
      <c r="M265" s="2111">
        <f t="shared" si="142"/>
        <v>0</v>
      </c>
      <c r="N265" s="477"/>
      <c r="O265" s="477"/>
      <c r="P265" s="478">
        <v>0</v>
      </c>
      <c r="Q265" s="2111">
        <f t="shared" si="143"/>
        <v>0</v>
      </c>
      <c r="R265" s="477"/>
      <c r="S265" s="477"/>
      <c r="T265" s="478">
        <v>0</v>
      </c>
      <c r="U265" s="2111">
        <f t="shared" si="144"/>
        <v>0</v>
      </c>
      <c r="V265" s="477"/>
      <c r="W265" s="477"/>
      <c r="X265" s="478">
        <v>0</v>
      </c>
    </row>
    <row r="266" spans="1:24" ht="15" customHeight="1" x14ac:dyDescent="0.2">
      <c r="A266" s="2534"/>
      <c r="B266" s="2541"/>
      <c r="C266" s="2513"/>
      <c r="D266" s="2496"/>
      <c r="E266" s="2090" t="s">
        <v>85</v>
      </c>
      <c r="F266" s="2095" t="s">
        <v>179</v>
      </c>
      <c r="G266" s="2544"/>
      <c r="H266" s="375" t="s">
        <v>30</v>
      </c>
      <c r="I266" s="2111">
        <f t="shared" si="141"/>
        <v>23</v>
      </c>
      <c r="J266" s="2079">
        <f>10.5+0.4</f>
        <v>10.9</v>
      </c>
      <c r="K266" s="2079"/>
      <c r="L266" s="2080">
        <f>6.1+4+2</f>
        <v>12.1</v>
      </c>
      <c r="M266" s="2111">
        <f t="shared" si="142"/>
        <v>0</v>
      </c>
      <c r="N266" s="477"/>
      <c r="O266" s="477"/>
      <c r="P266" s="478">
        <v>0</v>
      </c>
      <c r="Q266" s="2111">
        <f t="shared" si="143"/>
        <v>0</v>
      </c>
      <c r="R266" s="477"/>
      <c r="S266" s="477"/>
      <c r="T266" s="478">
        <v>0</v>
      </c>
      <c r="U266" s="2111">
        <f t="shared" si="144"/>
        <v>0</v>
      </c>
      <c r="V266" s="477"/>
      <c r="W266" s="477"/>
      <c r="X266" s="478">
        <v>0</v>
      </c>
    </row>
    <row r="267" spans="1:24" ht="15" customHeight="1" x14ac:dyDescent="0.2">
      <c r="A267" s="2534"/>
      <c r="B267" s="2541"/>
      <c r="C267" s="2513"/>
      <c r="D267" s="2496"/>
      <c r="E267" s="2090" t="s">
        <v>88</v>
      </c>
      <c r="F267" s="2095" t="s">
        <v>179</v>
      </c>
      <c r="G267" s="2544"/>
      <c r="H267" s="375" t="s">
        <v>30</v>
      </c>
      <c r="I267" s="408">
        <f t="shared" si="141"/>
        <v>18.3</v>
      </c>
      <c r="J267" s="2079">
        <f>5.4+1+1.1</f>
        <v>7.5</v>
      </c>
      <c r="K267" s="349"/>
      <c r="L267" s="2080">
        <v>10.8</v>
      </c>
      <c r="M267" s="408"/>
      <c r="N267" s="481"/>
      <c r="O267" s="481"/>
      <c r="P267" s="482"/>
      <c r="Q267" s="408"/>
      <c r="R267" s="481"/>
      <c r="S267" s="481"/>
      <c r="T267" s="482"/>
      <c r="U267" s="408"/>
      <c r="V267" s="481"/>
      <c r="W267" s="481"/>
      <c r="X267" s="482"/>
    </row>
    <row r="268" spans="1:24" ht="15" customHeight="1" x14ac:dyDescent="0.2">
      <c r="A268" s="2534"/>
      <c r="B268" s="2541"/>
      <c r="C268" s="2513"/>
      <c r="D268" s="2496"/>
      <c r="E268" s="2090" t="s">
        <v>173</v>
      </c>
      <c r="F268" s="2095" t="s">
        <v>179</v>
      </c>
      <c r="G268" s="2544"/>
      <c r="H268" s="375" t="s">
        <v>30</v>
      </c>
      <c r="I268" s="408"/>
      <c r="J268" s="2079"/>
      <c r="K268" s="349"/>
      <c r="L268" s="2080"/>
      <c r="M268" s="408"/>
      <c r="N268" s="481"/>
      <c r="O268" s="481"/>
      <c r="P268" s="482"/>
      <c r="Q268" s="408"/>
      <c r="R268" s="481"/>
      <c r="S268" s="481"/>
      <c r="T268" s="482"/>
      <c r="U268" s="408"/>
      <c r="V268" s="481"/>
      <c r="W268" s="481"/>
      <c r="X268" s="482"/>
    </row>
    <row r="269" spans="1:24" ht="15" customHeight="1" x14ac:dyDescent="0.2">
      <c r="A269" s="2534"/>
      <c r="B269" s="2541"/>
      <c r="C269" s="2513"/>
      <c r="D269" s="2496"/>
      <c r="E269" s="2090" t="s">
        <v>180</v>
      </c>
      <c r="F269" s="2095" t="s">
        <v>179</v>
      </c>
      <c r="G269" s="2544"/>
      <c r="H269" s="375" t="s">
        <v>30</v>
      </c>
      <c r="I269" s="408"/>
      <c r="J269" s="2079"/>
      <c r="K269" s="349"/>
      <c r="L269" s="383"/>
      <c r="M269" s="408"/>
      <c r="N269" s="481"/>
      <c r="O269" s="481"/>
      <c r="P269" s="482"/>
      <c r="Q269" s="408"/>
      <c r="R269" s="481"/>
      <c r="S269" s="481"/>
      <c r="T269" s="482"/>
      <c r="U269" s="408"/>
      <c r="V269" s="481"/>
      <c r="W269" s="481"/>
      <c r="X269" s="482"/>
    </row>
    <row r="270" spans="1:24" ht="15" customHeight="1" x14ac:dyDescent="0.2">
      <c r="A270" s="2534"/>
      <c r="B270" s="2541"/>
      <c r="C270" s="2513"/>
      <c r="D270" s="2496"/>
      <c r="E270" s="2090" t="s">
        <v>181</v>
      </c>
      <c r="F270" s="2095" t="s">
        <v>179</v>
      </c>
      <c r="G270" s="2544"/>
      <c r="H270" s="375" t="s">
        <v>30</v>
      </c>
      <c r="I270" s="408"/>
      <c r="J270" s="349"/>
      <c r="K270" s="349"/>
      <c r="L270" s="2080"/>
      <c r="M270" s="408"/>
      <c r="N270" s="481"/>
      <c r="O270" s="481"/>
      <c r="P270" s="482"/>
      <c r="Q270" s="408"/>
      <c r="R270" s="481"/>
      <c r="S270" s="481"/>
      <c r="T270" s="482"/>
      <c r="U270" s="408"/>
      <c r="V270" s="481"/>
      <c r="W270" s="481"/>
      <c r="X270" s="482"/>
    </row>
    <row r="271" spans="1:24" ht="15" customHeight="1" x14ac:dyDescent="0.2">
      <c r="A271" s="2534"/>
      <c r="B271" s="2541"/>
      <c r="C271" s="2513"/>
      <c r="D271" s="2496"/>
      <c r="E271" s="2498" t="s">
        <v>182</v>
      </c>
      <c r="F271" s="2498" t="s">
        <v>179</v>
      </c>
      <c r="G271" s="2544"/>
      <c r="H271" s="375" t="s">
        <v>30</v>
      </c>
      <c r="I271" s="408">
        <f>J271+L271</f>
        <v>20.8</v>
      </c>
      <c r="J271" s="349">
        <f>6.8+4</f>
        <v>10.8</v>
      </c>
      <c r="K271" s="349"/>
      <c r="L271" s="2080">
        <v>10</v>
      </c>
      <c r="M271" s="408"/>
      <c r="N271" s="481"/>
      <c r="O271" s="481"/>
      <c r="P271" s="482"/>
      <c r="Q271" s="408"/>
      <c r="R271" s="481"/>
      <c r="S271" s="481"/>
      <c r="T271" s="482"/>
      <c r="U271" s="408"/>
      <c r="V271" s="481"/>
      <c r="W271" s="481"/>
      <c r="X271" s="482"/>
    </row>
    <row r="272" spans="1:24" ht="15" customHeight="1" x14ac:dyDescent="0.2">
      <c r="A272" s="2534"/>
      <c r="B272" s="2541"/>
      <c r="C272" s="2513"/>
      <c r="D272" s="2496"/>
      <c r="E272" s="2543"/>
      <c r="F272" s="2543"/>
      <c r="G272" s="2544"/>
      <c r="H272" s="375" t="s">
        <v>32</v>
      </c>
      <c r="I272" s="408">
        <f>J272+L272</f>
        <v>0.7</v>
      </c>
      <c r="J272" s="349">
        <v>0.7</v>
      </c>
      <c r="K272" s="349"/>
      <c r="L272" s="2080"/>
      <c r="M272" s="408"/>
      <c r="N272" s="481"/>
      <c r="O272" s="481"/>
      <c r="P272" s="482"/>
      <c r="Q272" s="408"/>
      <c r="R272" s="481"/>
      <c r="S272" s="481"/>
      <c r="T272" s="482"/>
      <c r="U272" s="408"/>
      <c r="V272" s="481"/>
      <c r="W272" s="481"/>
      <c r="X272" s="482"/>
    </row>
    <row r="273" spans="1:24" ht="15" customHeight="1" x14ac:dyDescent="0.2">
      <c r="A273" s="2534"/>
      <c r="B273" s="2541"/>
      <c r="C273" s="2513"/>
      <c r="D273" s="2496"/>
      <c r="E273" s="2090" t="s">
        <v>140</v>
      </c>
      <c r="F273" s="2095" t="s">
        <v>141</v>
      </c>
      <c r="G273" s="2544"/>
      <c r="H273" s="375" t="s">
        <v>30</v>
      </c>
      <c r="I273" s="408">
        <f>J273+L273</f>
        <v>15</v>
      </c>
      <c r="J273" s="349">
        <f>2.4+3</f>
        <v>5.4</v>
      </c>
      <c r="K273" s="349"/>
      <c r="L273" s="2080">
        <v>9.6</v>
      </c>
      <c r="M273" s="408"/>
      <c r="N273" s="481"/>
      <c r="O273" s="481"/>
      <c r="P273" s="482"/>
      <c r="Q273" s="408"/>
      <c r="R273" s="481"/>
      <c r="S273" s="481"/>
      <c r="T273" s="482"/>
      <c r="U273" s="408"/>
      <c r="V273" s="481"/>
      <c r="W273" s="481"/>
      <c r="X273" s="482"/>
    </row>
    <row r="274" spans="1:24" ht="15" customHeight="1" x14ac:dyDescent="0.2">
      <c r="A274" s="2534"/>
      <c r="B274" s="2541"/>
      <c r="C274" s="2513"/>
      <c r="D274" s="2496"/>
      <c r="E274" s="2090" t="s">
        <v>144</v>
      </c>
      <c r="F274" s="2095" t="s">
        <v>141</v>
      </c>
      <c r="G274" s="2544"/>
      <c r="H274" s="375" t="s">
        <v>30</v>
      </c>
      <c r="I274" s="408">
        <f>J274+L274</f>
        <v>3.5999999999999996</v>
      </c>
      <c r="J274" s="349">
        <v>0.8</v>
      </c>
      <c r="K274" s="349"/>
      <c r="L274" s="2080">
        <v>2.8</v>
      </c>
      <c r="M274" s="408"/>
      <c r="N274" s="481"/>
      <c r="O274" s="481"/>
      <c r="P274" s="482"/>
      <c r="Q274" s="408"/>
      <c r="R274" s="481"/>
      <c r="S274" s="481"/>
      <c r="T274" s="482"/>
      <c r="U274" s="408"/>
      <c r="V274" s="481"/>
      <c r="W274" s="481"/>
      <c r="X274" s="482"/>
    </row>
    <row r="275" spans="1:24" ht="15" customHeight="1" x14ac:dyDescent="0.2">
      <c r="A275" s="2534"/>
      <c r="B275" s="2541"/>
      <c r="C275" s="2513"/>
      <c r="D275" s="2496"/>
      <c r="E275" s="2090" t="s">
        <v>183</v>
      </c>
      <c r="F275" s="2095" t="s">
        <v>179</v>
      </c>
      <c r="G275" s="2544"/>
      <c r="H275" s="375" t="s">
        <v>30</v>
      </c>
      <c r="I275" s="408"/>
      <c r="J275" s="349"/>
      <c r="K275" s="349"/>
      <c r="L275" s="2080"/>
      <c r="M275" s="408"/>
      <c r="N275" s="481"/>
      <c r="O275" s="481"/>
      <c r="P275" s="482"/>
      <c r="Q275" s="408"/>
      <c r="R275" s="481"/>
      <c r="S275" s="481"/>
      <c r="T275" s="482"/>
      <c r="U275" s="408"/>
      <c r="V275" s="481"/>
      <c r="W275" s="481"/>
      <c r="X275" s="482"/>
    </row>
    <row r="276" spans="1:24" ht="15" customHeight="1" x14ac:dyDescent="0.2">
      <c r="A276" s="2534"/>
      <c r="B276" s="2541"/>
      <c r="C276" s="2513"/>
      <c r="D276" s="2496"/>
      <c r="E276" s="2090" t="s">
        <v>163</v>
      </c>
      <c r="F276" s="2103" t="s">
        <v>152</v>
      </c>
      <c r="G276" s="2544"/>
      <c r="H276" s="375" t="s">
        <v>30</v>
      </c>
      <c r="I276" s="408"/>
      <c r="J276" s="349"/>
      <c r="K276" s="349"/>
      <c r="L276" s="356"/>
      <c r="M276" s="408"/>
      <c r="N276" s="481"/>
      <c r="O276" s="481"/>
      <c r="P276" s="482"/>
      <c r="Q276" s="408"/>
      <c r="R276" s="481"/>
      <c r="S276" s="481"/>
      <c r="T276" s="482"/>
      <c r="U276" s="408"/>
      <c r="V276" s="481"/>
      <c r="W276" s="481"/>
      <c r="X276" s="482"/>
    </row>
    <row r="277" spans="1:24" ht="15" customHeight="1" x14ac:dyDescent="0.2">
      <c r="A277" s="2534"/>
      <c r="B277" s="2541"/>
      <c r="C277" s="2513"/>
      <c r="D277" s="2496"/>
      <c r="E277" s="2090" t="s">
        <v>122</v>
      </c>
      <c r="F277" s="2103" t="s">
        <v>184</v>
      </c>
      <c r="G277" s="2544"/>
      <c r="H277" s="375" t="s">
        <v>30</v>
      </c>
      <c r="I277" s="408"/>
      <c r="J277" s="349"/>
      <c r="K277" s="349"/>
      <c r="L277" s="356"/>
      <c r="M277" s="408"/>
      <c r="N277" s="481"/>
      <c r="O277" s="481"/>
      <c r="P277" s="482"/>
      <c r="Q277" s="408"/>
      <c r="R277" s="481"/>
      <c r="S277" s="481"/>
      <c r="T277" s="482"/>
      <c r="U277" s="408"/>
      <c r="V277" s="481"/>
      <c r="W277" s="481"/>
      <c r="X277" s="482"/>
    </row>
    <row r="278" spans="1:24" ht="15" customHeight="1" x14ac:dyDescent="0.2">
      <c r="A278" s="2534"/>
      <c r="B278" s="2541"/>
      <c r="C278" s="2513"/>
      <c r="D278" s="2496"/>
      <c r="E278" s="2090" t="s">
        <v>94</v>
      </c>
      <c r="F278" s="2103" t="s">
        <v>95</v>
      </c>
      <c r="G278" s="2544"/>
      <c r="H278" s="2086" t="s">
        <v>30</v>
      </c>
      <c r="I278" s="408">
        <f>J278+L278</f>
        <v>6.3</v>
      </c>
      <c r="J278" s="349">
        <f>5.5+0.8</f>
        <v>6.3</v>
      </c>
      <c r="K278" s="349"/>
      <c r="L278" s="356"/>
      <c r="M278" s="408"/>
      <c r="N278" s="481"/>
      <c r="O278" s="481"/>
      <c r="P278" s="482"/>
      <c r="Q278" s="408"/>
      <c r="R278" s="481"/>
      <c r="S278" s="481"/>
      <c r="T278" s="482"/>
      <c r="U278" s="408"/>
      <c r="V278" s="481"/>
      <c r="W278" s="481"/>
      <c r="X278" s="482"/>
    </row>
    <row r="279" spans="1:24" ht="15" customHeight="1" x14ac:dyDescent="0.2">
      <c r="A279" s="2534"/>
      <c r="B279" s="2541"/>
      <c r="C279" s="2513"/>
      <c r="D279" s="2496"/>
      <c r="E279" s="2498" t="s">
        <v>104</v>
      </c>
      <c r="F279" s="2498" t="s">
        <v>175</v>
      </c>
      <c r="G279" s="2544"/>
      <c r="H279" s="2086" t="s">
        <v>32</v>
      </c>
      <c r="I279" s="408">
        <f>J279+L279</f>
        <v>0</v>
      </c>
      <c r="J279" s="349">
        <f>29.2-29.2</f>
        <v>0</v>
      </c>
      <c r="K279" s="349"/>
      <c r="L279" s="356"/>
      <c r="M279" s="408"/>
      <c r="N279" s="481"/>
      <c r="O279" s="481"/>
      <c r="P279" s="482"/>
      <c r="Q279" s="408"/>
      <c r="R279" s="481"/>
      <c r="S279" s="481"/>
      <c r="T279" s="482"/>
      <c r="U279" s="408"/>
      <c r="V279" s="481"/>
      <c r="W279" s="481"/>
      <c r="X279" s="482"/>
    </row>
    <row r="280" spans="1:24" ht="19.5" customHeight="1" thickBot="1" x14ac:dyDescent="0.25">
      <c r="A280" s="2534"/>
      <c r="B280" s="2541"/>
      <c r="C280" s="2513"/>
      <c r="D280" s="2496"/>
      <c r="E280" s="2543"/>
      <c r="F280" s="2544"/>
      <c r="G280" s="2544"/>
      <c r="H280" s="2087" t="s">
        <v>30</v>
      </c>
      <c r="I280" s="408">
        <f>J280+L280</f>
        <v>0</v>
      </c>
      <c r="J280" s="349">
        <f>20.8-20.8</f>
        <v>0</v>
      </c>
      <c r="K280" s="349"/>
      <c r="L280" s="417"/>
      <c r="M280" s="408">
        <f t="shared" ref="M280" si="145">N280+P280</f>
        <v>1000</v>
      </c>
      <c r="N280" s="349">
        <v>1000</v>
      </c>
      <c r="O280" s="481"/>
      <c r="P280" s="482">
        <v>0</v>
      </c>
      <c r="Q280" s="408">
        <f t="shared" ref="Q280" si="146">R280+T280</f>
        <v>800</v>
      </c>
      <c r="R280" s="481">
        <v>800</v>
      </c>
      <c r="S280" s="481"/>
      <c r="T280" s="482">
        <v>0</v>
      </c>
      <c r="U280" s="408">
        <f>V280+X280</f>
        <v>800</v>
      </c>
      <c r="V280" s="481">
        <v>800</v>
      </c>
      <c r="W280" s="481"/>
      <c r="X280" s="482">
        <v>0</v>
      </c>
    </row>
    <row r="281" spans="1:24" ht="21" customHeight="1" thickBot="1" x14ac:dyDescent="0.25">
      <c r="A281" s="2536"/>
      <c r="B281" s="2542"/>
      <c r="C281" s="2531"/>
      <c r="D281" s="2497"/>
      <c r="E281" s="483"/>
      <c r="F281" s="2516" t="s">
        <v>35</v>
      </c>
      <c r="G281" s="2517"/>
      <c r="H281" s="2518"/>
      <c r="I281" s="484">
        <f>J281+L281</f>
        <v>497.90000000000003</v>
      </c>
      <c r="J281" s="360">
        <f>SUM(J239:J280)</f>
        <v>266.2</v>
      </c>
      <c r="K281" s="360">
        <f>SUM(K247:K280)</f>
        <v>0</v>
      </c>
      <c r="L281" s="360">
        <f>SUM(L239:L280)</f>
        <v>231.70000000000005</v>
      </c>
      <c r="M281" s="359">
        <f>N281+P281</f>
        <v>1000</v>
      </c>
      <c r="N281" s="360">
        <f>SUM(N247:N280)</f>
        <v>1000</v>
      </c>
      <c r="O281" s="360">
        <f>SUM(O247:O280)</f>
        <v>0</v>
      </c>
      <c r="P281" s="361">
        <f>SUM(P247:P280)</f>
        <v>0</v>
      </c>
      <c r="Q281" s="359">
        <f>R281+T281</f>
        <v>800</v>
      </c>
      <c r="R281" s="360">
        <f>SUM(R247:R280)</f>
        <v>800</v>
      </c>
      <c r="S281" s="360">
        <f>SUM(S247:S280)</f>
        <v>0</v>
      </c>
      <c r="T281" s="361">
        <f>SUM(T247:T280)</f>
        <v>0</v>
      </c>
      <c r="U281" s="359">
        <f>V281+X281</f>
        <v>800</v>
      </c>
      <c r="V281" s="360">
        <f>SUM(V247:V280)</f>
        <v>800</v>
      </c>
      <c r="W281" s="360">
        <f>SUM(W247:W280)</f>
        <v>0</v>
      </c>
      <c r="X281" s="361">
        <f>SUM(X247:X280)</f>
        <v>0</v>
      </c>
    </row>
    <row r="282" spans="1:24" ht="28.5" customHeight="1" thickBot="1" x14ac:dyDescent="0.25">
      <c r="A282" s="2533">
        <v>2</v>
      </c>
      <c r="B282" s="2537">
        <v>1</v>
      </c>
      <c r="C282" s="2526">
        <v>4</v>
      </c>
      <c r="D282" s="2527" t="s">
        <v>185</v>
      </c>
      <c r="E282" s="2538">
        <v>9</v>
      </c>
      <c r="F282" s="2105" t="s">
        <v>158</v>
      </c>
      <c r="G282" s="2105" t="s">
        <v>186</v>
      </c>
      <c r="H282" s="2088" t="s">
        <v>30</v>
      </c>
      <c r="I282" s="485">
        <f>J282+L282</f>
        <v>0</v>
      </c>
      <c r="J282" s="486"/>
      <c r="K282" s="486">
        <v>0</v>
      </c>
      <c r="L282" s="487"/>
      <c r="M282" s="2084">
        <f>N282+P282</f>
        <v>0</v>
      </c>
      <c r="N282" s="474"/>
      <c r="O282" s="474"/>
      <c r="P282" s="475"/>
      <c r="Q282" s="2084">
        <f>R282+T282</f>
        <v>50</v>
      </c>
      <c r="R282" s="2082"/>
      <c r="S282" s="2082"/>
      <c r="T282" s="2083">
        <v>50</v>
      </c>
      <c r="U282" s="412"/>
      <c r="V282" s="413"/>
      <c r="W282" s="413"/>
      <c r="X282" s="425"/>
    </row>
    <row r="283" spans="1:24" ht="30" customHeight="1" thickBot="1" x14ac:dyDescent="0.25">
      <c r="A283" s="2536"/>
      <c r="B283" s="2537"/>
      <c r="C283" s="2526"/>
      <c r="D283" s="2529"/>
      <c r="E283" s="2539"/>
      <c r="F283" s="2516" t="s">
        <v>35</v>
      </c>
      <c r="G283" s="2517"/>
      <c r="H283" s="2518"/>
      <c r="I283" s="359">
        <f t="shared" ref="I283:L283" si="147">I282</f>
        <v>0</v>
      </c>
      <c r="J283" s="360">
        <f t="shared" si="147"/>
        <v>0</v>
      </c>
      <c r="K283" s="360">
        <f t="shared" si="147"/>
        <v>0</v>
      </c>
      <c r="L283" s="361">
        <f t="shared" si="147"/>
        <v>0</v>
      </c>
      <c r="M283" s="359">
        <f t="shared" ref="M283:M285" si="148">N283+P283</f>
        <v>0</v>
      </c>
      <c r="N283" s="360"/>
      <c r="O283" s="360"/>
      <c r="P283" s="361">
        <f>P282</f>
        <v>0</v>
      </c>
      <c r="Q283" s="359">
        <f t="shared" ref="Q283:Q285" si="149">R283+T283</f>
        <v>50</v>
      </c>
      <c r="R283" s="360"/>
      <c r="S283" s="360"/>
      <c r="T283" s="361">
        <f>T282</f>
        <v>50</v>
      </c>
      <c r="U283" s="359">
        <f t="shared" si="144"/>
        <v>0</v>
      </c>
      <c r="V283" s="360"/>
      <c r="W283" s="360"/>
      <c r="X283" s="361">
        <f>X282</f>
        <v>0</v>
      </c>
    </row>
    <row r="284" spans="1:24" ht="21.75" customHeight="1" thickBot="1" x14ac:dyDescent="0.25">
      <c r="A284" s="2533">
        <v>2</v>
      </c>
      <c r="B284" s="2489">
        <v>1</v>
      </c>
      <c r="C284" s="2492">
        <v>5</v>
      </c>
      <c r="D284" s="2521" t="s">
        <v>187</v>
      </c>
      <c r="E284" s="2511">
        <v>9</v>
      </c>
      <c r="F284" s="2095" t="s">
        <v>179</v>
      </c>
      <c r="G284" s="488" t="s">
        <v>188</v>
      </c>
      <c r="H284" s="489" t="s">
        <v>30</v>
      </c>
      <c r="I284" s="490">
        <f>J284+L284</f>
        <v>0</v>
      </c>
      <c r="J284" s="491"/>
      <c r="K284" s="491"/>
      <c r="L284" s="492"/>
      <c r="M284" s="2084">
        <f t="shared" si="148"/>
        <v>10</v>
      </c>
      <c r="N284" s="2082">
        <v>0</v>
      </c>
      <c r="O284" s="2082">
        <v>0</v>
      </c>
      <c r="P284" s="2083">
        <v>10</v>
      </c>
      <c r="Q284" s="408">
        <f t="shared" si="149"/>
        <v>1600</v>
      </c>
      <c r="R284" s="2079">
        <v>0</v>
      </c>
      <c r="S284" s="2079">
        <v>0</v>
      </c>
      <c r="T284" s="2080">
        <v>1600</v>
      </c>
      <c r="U284" s="408">
        <v>3000</v>
      </c>
      <c r="V284" s="477"/>
      <c r="W284" s="477"/>
      <c r="X284" s="478">
        <v>3000</v>
      </c>
    </row>
    <row r="285" spans="1:24" ht="21.75" customHeight="1" thickBot="1" x14ac:dyDescent="0.25">
      <c r="A285" s="2536"/>
      <c r="B285" s="2491"/>
      <c r="C285" s="2494"/>
      <c r="D285" s="2522"/>
      <c r="E285" s="2500"/>
      <c r="F285" s="2516" t="s">
        <v>35</v>
      </c>
      <c r="G285" s="2517"/>
      <c r="H285" s="2518"/>
      <c r="I285" s="359">
        <f t="shared" ref="I285:K285" si="150">SUM(I284:I284)</f>
        <v>0</v>
      </c>
      <c r="J285" s="374">
        <f t="shared" si="150"/>
        <v>0</v>
      </c>
      <c r="K285" s="360">
        <f t="shared" si="150"/>
        <v>0</v>
      </c>
      <c r="L285" s="362">
        <f>L284</f>
        <v>0</v>
      </c>
      <c r="M285" s="359">
        <f t="shared" si="148"/>
        <v>10</v>
      </c>
      <c r="N285" s="360">
        <f>SUM(N284:N284)</f>
        <v>0</v>
      </c>
      <c r="O285" s="360">
        <f>SUM(O284:O284)</f>
        <v>0</v>
      </c>
      <c r="P285" s="361">
        <f>P284</f>
        <v>10</v>
      </c>
      <c r="Q285" s="374">
        <f t="shared" si="149"/>
        <v>1600</v>
      </c>
      <c r="R285" s="360">
        <f>SUM(R284:R284)</f>
        <v>0</v>
      </c>
      <c r="S285" s="360">
        <f>SUM(S284:S284)</f>
        <v>0</v>
      </c>
      <c r="T285" s="361">
        <f>T284</f>
        <v>1600</v>
      </c>
      <c r="U285" s="374">
        <f t="shared" si="144"/>
        <v>3000</v>
      </c>
      <c r="V285" s="360">
        <f>SUM(V284:V284)</f>
        <v>0</v>
      </c>
      <c r="W285" s="360">
        <f>SUM(W284:W284)</f>
        <v>0</v>
      </c>
      <c r="X285" s="361">
        <f>X284</f>
        <v>3000</v>
      </c>
    </row>
    <row r="286" spans="1:24" ht="27" customHeight="1" thickBot="1" x14ac:dyDescent="0.25">
      <c r="A286" s="2533">
        <v>2</v>
      </c>
      <c r="B286" s="2489">
        <v>1</v>
      </c>
      <c r="C286" s="2492">
        <v>6</v>
      </c>
      <c r="D286" s="2495" t="s">
        <v>1345</v>
      </c>
      <c r="E286" s="2535" t="s">
        <v>114</v>
      </c>
      <c r="F286" s="2098" t="s">
        <v>26</v>
      </c>
      <c r="G286" s="2098" t="s">
        <v>189</v>
      </c>
      <c r="H286" s="2100" t="s">
        <v>30</v>
      </c>
      <c r="I286" s="493">
        <f>J286+L286</f>
        <v>0</v>
      </c>
      <c r="J286" s="494"/>
      <c r="K286" s="494"/>
      <c r="L286" s="495"/>
      <c r="M286" s="372">
        <f>N286+P286</f>
        <v>50</v>
      </c>
      <c r="N286" s="438"/>
      <c r="O286" s="438"/>
      <c r="P286" s="439">
        <v>50</v>
      </c>
      <c r="Q286" s="442">
        <v>355.5</v>
      </c>
      <c r="R286" s="443"/>
      <c r="S286" s="443"/>
      <c r="T286" s="444">
        <v>355.5</v>
      </c>
      <c r="U286" s="442"/>
      <c r="V286" s="443"/>
      <c r="W286" s="443"/>
      <c r="X286" s="444"/>
    </row>
    <row r="287" spans="1:24" ht="27.75" customHeight="1" thickBot="1" x14ac:dyDescent="0.25">
      <c r="A287" s="2534"/>
      <c r="B287" s="2491"/>
      <c r="C287" s="2494"/>
      <c r="D287" s="2497"/>
      <c r="E287" s="2532"/>
      <c r="F287" s="2516" t="s">
        <v>35</v>
      </c>
      <c r="G287" s="2517"/>
      <c r="H287" s="2517"/>
      <c r="I287" s="359">
        <f>SUM(I286)</f>
        <v>0</v>
      </c>
      <c r="J287" s="360"/>
      <c r="K287" s="360"/>
      <c r="L287" s="361">
        <f>SUM(L286)</f>
        <v>0</v>
      </c>
      <c r="M287" s="359">
        <f>SUM(M286)</f>
        <v>50</v>
      </c>
      <c r="N287" s="360"/>
      <c r="O287" s="360"/>
      <c r="P287" s="361">
        <f>SUM(P286)</f>
        <v>50</v>
      </c>
      <c r="Q287" s="359">
        <f>SUM(Q286)</f>
        <v>355.5</v>
      </c>
      <c r="R287" s="360"/>
      <c r="S287" s="360"/>
      <c r="T287" s="361">
        <f>SUM(T286)</f>
        <v>355.5</v>
      </c>
      <c r="U287" s="359">
        <f>SUM(U286)</f>
        <v>0</v>
      </c>
      <c r="V287" s="360"/>
      <c r="W287" s="360"/>
      <c r="X287" s="361">
        <f>SUM(X286)</f>
        <v>0</v>
      </c>
    </row>
    <row r="288" spans="1:24" ht="24" customHeight="1" x14ac:dyDescent="0.2">
      <c r="A288" s="2525">
        <v>2</v>
      </c>
      <c r="B288" s="2489">
        <v>1</v>
      </c>
      <c r="C288" s="2494">
        <v>7</v>
      </c>
      <c r="D288" s="2527" t="s">
        <v>190</v>
      </c>
      <c r="E288" s="2530">
        <v>9</v>
      </c>
      <c r="F288" s="2514" t="s">
        <v>44</v>
      </c>
      <c r="G288" s="2514" t="s">
        <v>191</v>
      </c>
      <c r="H288" s="496" t="s">
        <v>192</v>
      </c>
      <c r="I288" s="412">
        <f>J288+L288</f>
        <v>434</v>
      </c>
      <c r="J288" s="413">
        <v>0</v>
      </c>
      <c r="K288" s="413">
        <v>0</v>
      </c>
      <c r="L288" s="425">
        <v>434</v>
      </c>
      <c r="M288" s="1548">
        <v>775</v>
      </c>
      <c r="N288" s="1549"/>
      <c r="O288" s="1549"/>
      <c r="P288" s="1550">
        <v>775</v>
      </c>
      <c r="Q288" s="2084">
        <f>R288+T288</f>
        <v>0</v>
      </c>
      <c r="R288" s="2082"/>
      <c r="S288" s="2082"/>
      <c r="T288" s="2083"/>
      <c r="U288" s="2084"/>
      <c r="V288" s="474"/>
      <c r="W288" s="474"/>
      <c r="X288" s="475"/>
    </row>
    <row r="289" spans="1:24" ht="19.5" customHeight="1" x14ac:dyDescent="0.2">
      <c r="A289" s="2525"/>
      <c r="B289" s="2490"/>
      <c r="C289" s="2494"/>
      <c r="D289" s="2528"/>
      <c r="E289" s="2531"/>
      <c r="F289" s="2515"/>
      <c r="G289" s="2515"/>
      <c r="H289" s="497" t="s">
        <v>193</v>
      </c>
      <c r="I289" s="2122">
        <f t="shared" ref="I289:I290" si="151">J289+L289</f>
        <v>288.10000000000002</v>
      </c>
      <c r="J289" s="377"/>
      <c r="K289" s="377"/>
      <c r="L289" s="390">
        <v>288.10000000000002</v>
      </c>
      <c r="M289" s="498"/>
      <c r="N289" s="481"/>
      <c r="O289" s="481"/>
      <c r="P289" s="482"/>
      <c r="Q289" s="498"/>
      <c r="R289" s="481"/>
      <c r="S289" s="481"/>
      <c r="T289" s="482"/>
      <c r="U289" s="498"/>
      <c r="V289" s="481"/>
      <c r="W289" s="481"/>
      <c r="X289" s="482"/>
    </row>
    <row r="290" spans="1:24" ht="24" customHeight="1" x14ac:dyDescent="0.2">
      <c r="A290" s="2525"/>
      <c r="B290" s="2490"/>
      <c r="C290" s="2494"/>
      <c r="D290" s="2528"/>
      <c r="E290" s="2531"/>
      <c r="F290" s="2515"/>
      <c r="G290" s="2515"/>
      <c r="H290" s="433" t="s">
        <v>116</v>
      </c>
      <c r="I290" s="2122">
        <f t="shared" si="151"/>
        <v>232.8</v>
      </c>
      <c r="J290" s="382"/>
      <c r="K290" s="382"/>
      <c r="L290" s="368">
        <v>232.8</v>
      </c>
      <c r="M290" s="499"/>
      <c r="N290" s="477"/>
      <c r="O290" s="477"/>
      <c r="P290" s="478"/>
      <c r="Q290" s="499"/>
      <c r="R290" s="477"/>
      <c r="S290" s="477"/>
      <c r="T290" s="478"/>
      <c r="U290" s="499"/>
      <c r="V290" s="477"/>
      <c r="W290" s="477"/>
      <c r="X290" s="478"/>
    </row>
    <row r="291" spans="1:24" ht="18" customHeight="1" x14ac:dyDescent="0.2">
      <c r="A291" s="2525"/>
      <c r="B291" s="2490"/>
      <c r="C291" s="2494"/>
      <c r="D291" s="2528"/>
      <c r="E291" s="2531"/>
      <c r="F291" s="2515"/>
      <c r="G291" s="2515"/>
      <c r="H291" s="433" t="s">
        <v>32</v>
      </c>
      <c r="I291" s="2122">
        <f>J291+L291</f>
        <v>631</v>
      </c>
      <c r="J291" s="2079"/>
      <c r="K291" s="2079"/>
      <c r="L291" s="2080">
        <f>336+295</f>
        <v>631</v>
      </c>
      <c r="M291" s="499"/>
      <c r="N291" s="477"/>
      <c r="O291" s="477"/>
      <c r="P291" s="478"/>
      <c r="Q291" s="499"/>
      <c r="R291" s="477"/>
      <c r="S291" s="477"/>
      <c r="T291" s="478"/>
      <c r="U291" s="499"/>
      <c r="V291" s="477"/>
      <c r="W291" s="477"/>
      <c r="X291" s="478"/>
    </row>
    <row r="292" spans="1:24" ht="19.5" customHeight="1" thickBot="1" x14ac:dyDescent="0.25">
      <c r="A292" s="2525"/>
      <c r="B292" s="2490"/>
      <c r="C292" s="2494"/>
      <c r="D292" s="2528"/>
      <c r="E292" s="2531"/>
      <c r="F292" s="2515"/>
      <c r="G292" s="2515"/>
      <c r="H292" s="402" t="s">
        <v>30</v>
      </c>
      <c r="I292" s="500">
        <f>J292+L292</f>
        <v>329.9</v>
      </c>
      <c r="J292" s="501"/>
      <c r="K292" s="501"/>
      <c r="L292" s="502">
        <v>329.9</v>
      </c>
      <c r="M292" s="2292">
        <v>1.2</v>
      </c>
      <c r="N292" s="380"/>
      <c r="O292" s="380"/>
      <c r="P292" s="383">
        <v>1.2</v>
      </c>
      <c r="Q292" s="2292">
        <f>R292+T292</f>
        <v>0</v>
      </c>
      <c r="R292" s="479"/>
      <c r="S292" s="479"/>
      <c r="T292" s="480"/>
      <c r="U292" s="2292">
        <f>V292+X292</f>
        <v>0</v>
      </c>
      <c r="V292" s="479"/>
      <c r="W292" s="479"/>
      <c r="X292" s="480"/>
    </row>
    <row r="293" spans="1:24" ht="22.5" customHeight="1" thickBot="1" x14ac:dyDescent="0.25">
      <c r="A293" s="2525"/>
      <c r="B293" s="2490"/>
      <c r="C293" s="2526"/>
      <c r="D293" s="2529"/>
      <c r="E293" s="2532"/>
      <c r="F293" s="2516" t="s">
        <v>35</v>
      </c>
      <c r="G293" s="2517"/>
      <c r="H293" s="2518"/>
      <c r="I293" s="374">
        <f>J293+L293</f>
        <v>1915.8</v>
      </c>
      <c r="J293" s="360">
        <f>SUM(J288:J288)</f>
        <v>0</v>
      </c>
      <c r="K293" s="360">
        <f>SUM(K288:K288)</f>
        <v>0</v>
      </c>
      <c r="L293" s="361">
        <f>L288+L292+L291+L289+L290</f>
        <v>1915.8</v>
      </c>
      <c r="M293" s="362">
        <f t="shared" ref="M293:M298" si="152">N293+P293</f>
        <v>776.2</v>
      </c>
      <c r="N293" s="360">
        <f>SUM(N288:N288)</f>
        <v>0</v>
      </c>
      <c r="O293" s="360">
        <f>SUM(O288:O288)</f>
        <v>0</v>
      </c>
      <c r="P293" s="361">
        <f>P288+P292+P291+P289+P290</f>
        <v>776.2</v>
      </c>
      <c r="Q293" s="362">
        <f>R293+T293</f>
        <v>0</v>
      </c>
      <c r="R293" s="360">
        <f>SUM(R288:R288)</f>
        <v>0</v>
      </c>
      <c r="S293" s="360">
        <f>SUM(S288:S288)</f>
        <v>0</v>
      </c>
      <c r="T293" s="361"/>
      <c r="U293" s="362">
        <f>V293+X293</f>
        <v>0</v>
      </c>
      <c r="V293" s="360">
        <f>SUM(V288:V288)</f>
        <v>0</v>
      </c>
      <c r="W293" s="360">
        <f>SUM(W288:W288)</f>
        <v>0</v>
      </c>
      <c r="X293" s="361">
        <f>X288+X292+X291+X289+X290</f>
        <v>0</v>
      </c>
    </row>
    <row r="294" spans="1:24" ht="265.5" customHeight="1" thickBot="1" x14ac:dyDescent="0.25">
      <c r="A294" s="2519">
        <v>2</v>
      </c>
      <c r="B294" s="2489">
        <v>1</v>
      </c>
      <c r="C294" s="2494">
        <v>8</v>
      </c>
      <c r="D294" s="2521" t="s">
        <v>1340</v>
      </c>
      <c r="E294" s="2523">
        <v>9</v>
      </c>
      <c r="F294" s="2105" t="s">
        <v>26</v>
      </c>
      <c r="G294" s="503" t="s">
        <v>195</v>
      </c>
      <c r="H294" s="2088" t="s">
        <v>30</v>
      </c>
      <c r="I294" s="412">
        <f t="shared" ref="I294:I306" si="153">J294+L294</f>
        <v>0</v>
      </c>
      <c r="J294" s="474"/>
      <c r="K294" s="474"/>
      <c r="L294" s="475"/>
      <c r="M294" s="1548">
        <f t="shared" si="152"/>
        <v>120</v>
      </c>
      <c r="N294" s="1549">
        <v>0</v>
      </c>
      <c r="O294" s="1549">
        <v>0</v>
      </c>
      <c r="P294" s="1550">
        <f>20+50+50</f>
        <v>120</v>
      </c>
      <c r="Q294" s="2084">
        <f t="shared" ref="Q294:Q295" si="154">R294+T294</f>
        <v>600</v>
      </c>
      <c r="R294" s="474">
        <v>0</v>
      </c>
      <c r="S294" s="474">
        <v>0</v>
      </c>
      <c r="T294" s="475">
        <v>600</v>
      </c>
      <c r="U294" s="2084">
        <f t="shared" ref="U294:U295" si="155">V294+X294</f>
        <v>2000</v>
      </c>
      <c r="V294" s="474">
        <v>0</v>
      </c>
      <c r="W294" s="474">
        <v>0</v>
      </c>
      <c r="X294" s="475">
        <v>2000</v>
      </c>
    </row>
    <row r="295" spans="1:24" ht="35.25" customHeight="1" thickBot="1" x14ac:dyDescent="0.25">
      <c r="A295" s="2520"/>
      <c r="B295" s="2490"/>
      <c r="C295" s="2492"/>
      <c r="D295" s="2522"/>
      <c r="E295" s="2524"/>
      <c r="F295" s="2516" t="s">
        <v>35</v>
      </c>
      <c r="G295" s="2517"/>
      <c r="H295" s="2518"/>
      <c r="I295" s="359">
        <f t="shared" si="153"/>
        <v>0</v>
      </c>
      <c r="J295" s="360"/>
      <c r="K295" s="360"/>
      <c r="L295" s="361">
        <f>L294</f>
        <v>0</v>
      </c>
      <c r="M295" s="359">
        <f t="shared" si="152"/>
        <v>120</v>
      </c>
      <c r="N295" s="360">
        <v>0</v>
      </c>
      <c r="O295" s="360">
        <v>0</v>
      </c>
      <c r="P295" s="361">
        <f>P294</f>
        <v>120</v>
      </c>
      <c r="Q295" s="359">
        <f t="shared" si="154"/>
        <v>600</v>
      </c>
      <c r="R295" s="360">
        <f>SUM(R294)</f>
        <v>0</v>
      </c>
      <c r="S295" s="360">
        <f t="shared" ref="S295:T295" si="156">SUM(S294)</f>
        <v>0</v>
      </c>
      <c r="T295" s="360">
        <f t="shared" si="156"/>
        <v>600</v>
      </c>
      <c r="U295" s="359">
        <f t="shared" si="155"/>
        <v>2000</v>
      </c>
      <c r="V295" s="360">
        <f>SUM(V294)</f>
        <v>0</v>
      </c>
      <c r="W295" s="360">
        <f t="shared" ref="W295:X295" si="157">SUM(W294)</f>
        <v>0</v>
      </c>
      <c r="X295" s="361">
        <f t="shared" si="157"/>
        <v>2000</v>
      </c>
    </row>
    <row r="296" spans="1:24" ht="36" customHeight="1" thickBot="1" x14ac:dyDescent="0.25">
      <c r="A296" s="2486">
        <v>2</v>
      </c>
      <c r="B296" s="2489">
        <v>1</v>
      </c>
      <c r="C296" s="2492">
        <v>9</v>
      </c>
      <c r="D296" s="2495" t="s">
        <v>196</v>
      </c>
      <c r="E296" s="2511">
        <v>9</v>
      </c>
      <c r="F296" s="2501" t="s">
        <v>44</v>
      </c>
      <c r="G296" s="2506" t="s">
        <v>197</v>
      </c>
      <c r="H296" s="2091" t="s">
        <v>30</v>
      </c>
      <c r="I296" s="2084">
        <f t="shared" si="153"/>
        <v>0</v>
      </c>
      <c r="J296" s="2082"/>
      <c r="K296" s="2082"/>
      <c r="L296" s="2083"/>
      <c r="M296" s="2084">
        <f t="shared" si="152"/>
        <v>300</v>
      </c>
      <c r="N296" s="2082"/>
      <c r="O296" s="2082"/>
      <c r="P296" s="2083">
        <v>300</v>
      </c>
      <c r="Q296" s="2084">
        <f>R296+T296</f>
        <v>1199.5</v>
      </c>
      <c r="R296" s="2082"/>
      <c r="S296" s="2082"/>
      <c r="T296" s="2083">
        <f>519.5+680</f>
        <v>1199.5</v>
      </c>
      <c r="U296" s="2084"/>
      <c r="V296" s="2082"/>
      <c r="W296" s="2082"/>
      <c r="X296" s="2083"/>
    </row>
    <row r="297" spans="1:24" ht="36" hidden="1" customHeight="1" thickBot="1" x14ac:dyDescent="0.25">
      <c r="A297" s="2487"/>
      <c r="B297" s="2490"/>
      <c r="C297" s="2493"/>
      <c r="D297" s="2496"/>
      <c r="E297" s="2512"/>
      <c r="F297" s="2513"/>
      <c r="G297" s="2506"/>
      <c r="H297" s="2101" t="s">
        <v>99</v>
      </c>
      <c r="I297" s="504">
        <f>J297+L297</f>
        <v>0</v>
      </c>
      <c r="J297" s="456"/>
      <c r="K297" s="456"/>
      <c r="L297" s="505">
        <v>0</v>
      </c>
      <c r="M297" s="504"/>
      <c r="N297" s="456"/>
      <c r="O297" s="456"/>
      <c r="P297" s="505"/>
      <c r="Q297" s="504"/>
      <c r="R297" s="456"/>
      <c r="S297" s="456"/>
      <c r="T297" s="505"/>
      <c r="U297" s="504"/>
      <c r="V297" s="456"/>
      <c r="W297" s="456"/>
      <c r="X297" s="505"/>
    </row>
    <row r="298" spans="1:24" ht="24" customHeight="1" thickBot="1" x14ac:dyDescent="0.25">
      <c r="A298" s="2488"/>
      <c r="B298" s="2491"/>
      <c r="C298" s="2494"/>
      <c r="D298" s="2497"/>
      <c r="E298" s="2500"/>
      <c r="F298" s="2507" t="s">
        <v>107</v>
      </c>
      <c r="G298" s="2508"/>
      <c r="H298" s="2509"/>
      <c r="I298" s="392">
        <f t="shared" si="153"/>
        <v>0</v>
      </c>
      <c r="J298" s="387"/>
      <c r="K298" s="387"/>
      <c r="L298" s="388">
        <f>L296+L297</f>
        <v>0</v>
      </c>
      <c r="M298" s="363">
        <f t="shared" si="152"/>
        <v>300</v>
      </c>
      <c r="N298" s="387"/>
      <c r="O298" s="387"/>
      <c r="P298" s="388">
        <f>P296</f>
        <v>300</v>
      </c>
      <c r="Q298" s="363">
        <f>R298+T298</f>
        <v>1199.5</v>
      </c>
      <c r="R298" s="387"/>
      <c r="S298" s="387"/>
      <c r="T298" s="388">
        <f>T296</f>
        <v>1199.5</v>
      </c>
      <c r="U298" s="363"/>
      <c r="V298" s="387"/>
      <c r="W298" s="387"/>
      <c r="X298" s="388"/>
    </row>
    <row r="299" spans="1:24" ht="36" hidden="1" customHeight="1" thickBot="1" x14ac:dyDescent="0.25">
      <c r="A299" s="2486">
        <v>2</v>
      </c>
      <c r="B299" s="2489">
        <v>1</v>
      </c>
      <c r="C299" s="2492">
        <v>12</v>
      </c>
      <c r="D299" s="2503" t="s">
        <v>198</v>
      </c>
      <c r="E299" s="2510">
        <v>9</v>
      </c>
      <c r="F299" s="506" t="s">
        <v>44</v>
      </c>
      <c r="G299" s="2106" t="s">
        <v>199</v>
      </c>
      <c r="H299" s="2088" t="s">
        <v>31</v>
      </c>
      <c r="I299" s="455">
        <f t="shared" si="153"/>
        <v>0</v>
      </c>
      <c r="J299" s="457"/>
      <c r="K299" s="457"/>
      <c r="L299" s="458"/>
      <c r="M299" s="455"/>
      <c r="N299" s="457"/>
      <c r="O299" s="457"/>
      <c r="P299" s="458"/>
      <c r="Q299" s="455"/>
      <c r="R299" s="457"/>
      <c r="S299" s="457"/>
      <c r="T299" s="458"/>
      <c r="U299" s="455"/>
      <c r="V299" s="457"/>
      <c r="W299" s="457"/>
      <c r="X299" s="458"/>
    </row>
    <row r="300" spans="1:24" ht="24" hidden="1" customHeight="1" x14ac:dyDescent="0.2">
      <c r="A300" s="2488"/>
      <c r="B300" s="2491"/>
      <c r="C300" s="2494"/>
      <c r="D300" s="2505"/>
      <c r="E300" s="2500"/>
      <c r="F300" s="2472" t="s">
        <v>107</v>
      </c>
      <c r="G300" s="2473"/>
      <c r="H300" s="2473"/>
      <c r="I300" s="363">
        <f t="shared" si="153"/>
        <v>0</v>
      </c>
      <c r="J300" s="387"/>
      <c r="K300" s="387"/>
      <c r="L300" s="388">
        <f>L299</f>
        <v>0</v>
      </c>
      <c r="M300" s="392"/>
      <c r="N300" s="387"/>
      <c r="O300" s="387"/>
      <c r="P300" s="388"/>
      <c r="Q300" s="392"/>
      <c r="R300" s="387"/>
      <c r="S300" s="387"/>
      <c r="T300" s="388"/>
      <c r="U300" s="392"/>
      <c r="V300" s="387"/>
      <c r="W300" s="387"/>
      <c r="X300" s="388"/>
    </row>
    <row r="301" spans="1:24" ht="22.5" customHeight="1" x14ac:dyDescent="0.2">
      <c r="A301" s="2486">
        <v>2</v>
      </c>
      <c r="B301" s="2489">
        <v>1</v>
      </c>
      <c r="C301" s="2492">
        <v>10</v>
      </c>
      <c r="D301" s="2503" t="s">
        <v>200</v>
      </c>
      <c r="E301" s="2498" t="s">
        <v>47</v>
      </c>
      <c r="F301" s="2501" t="s">
        <v>44</v>
      </c>
      <c r="G301" s="2470" t="s">
        <v>201</v>
      </c>
      <c r="H301" s="364" t="s">
        <v>30</v>
      </c>
      <c r="I301" s="2084">
        <f t="shared" si="153"/>
        <v>18.600000000000001</v>
      </c>
      <c r="J301" s="2082"/>
      <c r="K301" s="2082"/>
      <c r="L301" s="2083">
        <v>18.600000000000001</v>
      </c>
      <c r="M301" s="2084"/>
      <c r="N301" s="2082"/>
      <c r="O301" s="2082"/>
      <c r="P301" s="2083"/>
      <c r="Q301" s="2084"/>
      <c r="R301" s="2082"/>
      <c r="S301" s="2082"/>
      <c r="T301" s="2083"/>
      <c r="U301" s="2084"/>
      <c r="V301" s="2082"/>
      <c r="W301" s="2082"/>
      <c r="X301" s="2083"/>
    </row>
    <row r="302" spans="1:24" ht="22.5" customHeight="1" thickBot="1" x14ac:dyDescent="0.25">
      <c r="A302" s="2487"/>
      <c r="B302" s="2490"/>
      <c r="C302" s="2493"/>
      <c r="D302" s="2504"/>
      <c r="E302" s="2499"/>
      <c r="F302" s="2502"/>
      <c r="G302" s="2471"/>
      <c r="H302" s="2088" t="s">
        <v>202</v>
      </c>
      <c r="I302" s="348">
        <f t="shared" si="153"/>
        <v>74.3</v>
      </c>
      <c r="J302" s="457"/>
      <c r="K302" s="457"/>
      <c r="L302" s="458">
        <v>74.3</v>
      </c>
      <c r="M302" s="455"/>
      <c r="N302" s="457"/>
      <c r="O302" s="457"/>
      <c r="P302" s="458"/>
      <c r="Q302" s="455"/>
      <c r="R302" s="457"/>
      <c r="S302" s="457"/>
      <c r="T302" s="458"/>
      <c r="U302" s="455"/>
      <c r="V302" s="457"/>
      <c r="W302" s="457"/>
      <c r="X302" s="458"/>
    </row>
    <row r="303" spans="1:24" ht="22.5" customHeight="1" thickBot="1" x14ac:dyDescent="0.25">
      <c r="A303" s="2488"/>
      <c r="B303" s="2491"/>
      <c r="C303" s="2494"/>
      <c r="D303" s="2505"/>
      <c r="E303" s="2500"/>
      <c r="F303" s="2472" t="s">
        <v>107</v>
      </c>
      <c r="G303" s="2473"/>
      <c r="H303" s="2473"/>
      <c r="I303" s="363">
        <f t="shared" si="153"/>
        <v>92.9</v>
      </c>
      <c r="J303" s="387"/>
      <c r="K303" s="387"/>
      <c r="L303" s="435">
        <f>L301+L302</f>
        <v>92.9</v>
      </c>
      <c r="M303" s="363"/>
      <c r="N303" s="387"/>
      <c r="O303" s="387"/>
      <c r="P303" s="388"/>
      <c r="Q303" s="363"/>
      <c r="R303" s="387"/>
      <c r="S303" s="387"/>
      <c r="T303" s="388"/>
      <c r="U303" s="363"/>
      <c r="V303" s="387"/>
      <c r="W303" s="387"/>
      <c r="X303" s="388"/>
    </row>
    <row r="304" spans="1:24" ht="22.5" customHeight="1" x14ac:dyDescent="0.2">
      <c r="A304" s="2486">
        <v>2</v>
      </c>
      <c r="B304" s="2489">
        <v>1</v>
      </c>
      <c r="C304" s="2492">
        <v>11</v>
      </c>
      <c r="D304" s="2503" t="s">
        <v>203</v>
      </c>
      <c r="E304" s="2498" t="s">
        <v>75</v>
      </c>
      <c r="F304" s="2501" t="s">
        <v>26</v>
      </c>
      <c r="G304" s="2470" t="s">
        <v>204</v>
      </c>
      <c r="H304" s="364" t="s">
        <v>30</v>
      </c>
      <c r="I304" s="2084">
        <f t="shared" si="153"/>
        <v>15.9</v>
      </c>
      <c r="J304" s="2082"/>
      <c r="K304" s="2082"/>
      <c r="L304" s="2083">
        <v>15.9</v>
      </c>
      <c r="M304" s="2084"/>
      <c r="N304" s="2082"/>
      <c r="O304" s="2082"/>
      <c r="P304" s="2083"/>
      <c r="Q304" s="2084"/>
      <c r="R304" s="2082"/>
      <c r="S304" s="2082"/>
      <c r="T304" s="2083"/>
      <c r="U304" s="2084"/>
      <c r="V304" s="2082"/>
      <c r="W304" s="2082"/>
      <c r="X304" s="2083"/>
    </row>
    <row r="305" spans="1:24" ht="22.5" customHeight="1" thickBot="1" x14ac:dyDescent="0.25">
      <c r="A305" s="2487"/>
      <c r="B305" s="2490"/>
      <c r="C305" s="2493"/>
      <c r="D305" s="2504"/>
      <c r="E305" s="2499"/>
      <c r="F305" s="2502"/>
      <c r="G305" s="2471"/>
      <c r="H305" s="2088" t="s">
        <v>202</v>
      </c>
      <c r="I305" s="348">
        <f t="shared" si="153"/>
        <v>63.7</v>
      </c>
      <c r="J305" s="457"/>
      <c r="K305" s="457"/>
      <c r="L305" s="458">
        <v>63.7</v>
      </c>
      <c r="M305" s="455"/>
      <c r="N305" s="457"/>
      <c r="O305" s="457"/>
      <c r="P305" s="458"/>
      <c r="Q305" s="455"/>
      <c r="R305" s="457"/>
      <c r="S305" s="457"/>
      <c r="T305" s="458"/>
      <c r="U305" s="455"/>
      <c r="V305" s="457"/>
      <c r="W305" s="457"/>
      <c r="X305" s="458"/>
    </row>
    <row r="306" spans="1:24" ht="22.5" customHeight="1" thickBot="1" x14ac:dyDescent="0.25">
      <c r="A306" s="2488"/>
      <c r="B306" s="2491"/>
      <c r="C306" s="2493"/>
      <c r="D306" s="2505"/>
      <c r="E306" s="2499"/>
      <c r="F306" s="2472" t="s">
        <v>107</v>
      </c>
      <c r="G306" s="2473"/>
      <c r="H306" s="2474"/>
      <c r="I306" s="363">
        <f t="shared" si="153"/>
        <v>79.600000000000009</v>
      </c>
      <c r="J306" s="387"/>
      <c r="K306" s="387"/>
      <c r="L306" s="435">
        <f>L304+L305</f>
        <v>79.600000000000009</v>
      </c>
      <c r="M306" s="363"/>
      <c r="N306" s="387"/>
      <c r="O306" s="387"/>
      <c r="P306" s="388"/>
      <c r="Q306" s="363"/>
      <c r="R306" s="387"/>
      <c r="S306" s="387"/>
      <c r="T306" s="388"/>
      <c r="U306" s="363"/>
      <c r="V306" s="387"/>
      <c r="W306" s="387"/>
      <c r="X306" s="388"/>
    </row>
    <row r="307" spans="1:24" ht="14.45" customHeight="1" x14ac:dyDescent="0.2">
      <c r="A307" s="2486">
        <v>2</v>
      </c>
      <c r="B307" s="2489">
        <v>1</v>
      </c>
      <c r="C307" s="2492">
        <v>12</v>
      </c>
      <c r="D307" s="2495" t="s">
        <v>205</v>
      </c>
      <c r="E307" s="2498" t="s">
        <v>114</v>
      </c>
      <c r="F307" s="2501" t="s">
        <v>44</v>
      </c>
      <c r="G307" s="2470" t="s">
        <v>206</v>
      </c>
      <c r="H307" s="364" t="s">
        <v>30</v>
      </c>
      <c r="I307" s="2084">
        <f>J307+L307</f>
        <v>0</v>
      </c>
      <c r="J307" s="2082"/>
      <c r="K307" s="2082"/>
      <c r="L307" s="2083"/>
      <c r="M307" s="2084">
        <v>20</v>
      </c>
      <c r="N307" s="2082"/>
      <c r="O307" s="2082"/>
      <c r="P307" s="2083">
        <v>20</v>
      </c>
      <c r="Q307" s="2084">
        <f t="shared" ref="Q307:Q311" si="158">R307+T307</f>
        <v>58</v>
      </c>
      <c r="R307" s="2082"/>
      <c r="S307" s="2082"/>
      <c r="T307" s="2083">
        <v>58</v>
      </c>
      <c r="U307" s="2084"/>
      <c r="V307" s="2082"/>
      <c r="W307" s="2082"/>
      <c r="X307" s="2083"/>
    </row>
    <row r="308" spans="1:24" ht="14.45" customHeight="1" thickBot="1" x14ac:dyDescent="0.25">
      <c r="A308" s="2487"/>
      <c r="B308" s="2490"/>
      <c r="C308" s="2493"/>
      <c r="D308" s="2496"/>
      <c r="E308" s="2499"/>
      <c r="F308" s="2502"/>
      <c r="G308" s="2471"/>
      <c r="H308" s="407" t="s">
        <v>33</v>
      </c>
      <c r="I308" s="348">
        <f>J308+L308</f>
        <v>0</v>
      </c>
      <c r="J308" s="349"/>
      <c r="K308" s="349"/>
      <c r="L308" s="350"/>
      <c r="M308" s="348"/>
      <c r="N308" s="349"/>
      <c r="O308" s="349"/>
      <c r="P308" s="350"/>
      <c r="Q308" s="348">
        <f t="shared" si="158"/>
        <v>232</v>
      </c>
      <c r="R308" s="349"/>
      <c r="S308" s="349"/>
      <c r="T308" s="350">
        <v>232</v>
      </c>
      <c r="U308" s="348"/>
      <c r="V308" s="349"/>
      <c r="W308" s="349"/>
      <c r="X308" s="350"/>
    </row>
    <row r="309" spans="1:24" ht="14.45" customHeight="1" thickBot="1" x14ac:dyDescent="0.25">
      <c r="A309" s="2488"/>
      <c r="B309" s="2491"/>
      <c r="C309" s="2494"/>
      <c r="D309" s="2497"/>
      <c r="E309" s="2500"/>
      <c r="F309" s="2472" t="s">
        <v>107</v>
      </c>
      <c r="G309" s="2473"/>
      <c r="H309" s="2474"/>
      <c r="I309" s="363">
        <f t="shared" ref="I309" si="159">J309+L309</f>
        <v>0</v>
      </c>
      <c r="J309" s="387"/>
      <c r="K309" s="387"/>
      <c r="L309" s="435">
        <f>L307</f>
        <v>0</v>
      </c>
      <c r="M309" s="363">
        <f>N309+P309</f>
        <v>20</v>
      </c>
      <c r="N309" s="387"/>
      <c r="O309" s="387"/>
      <c r="P309" s="388">
        <f>P307+P308</f>
        <v>20</v>
      </c>
      <c r="Q309" s="363">
        <f t="shared" si="158"/>
        <v>290</v>
      </c>
      <c r="R309" s="387"/>
      <c r="S309" s="387"/>
      <c r="T309" s="388">
        <f>T307+T308</f>
        <v>290</v>
      </c>
      <c r="U309" s="363">
        <f>V309+X309</f>
        <v>0</v>
      </c>
      <c r="V309" s="387"/>
      <c r="W309" s="387"/>
      <c r="X309" s="388">
        <f>X307+X308</f>
        <v>0</v>
      </c>
    </row>
    <row r="310" spans="1:24" ht="24" customHeight="1" thickBot="1" x14ac:dyDescent="0.25">
      <c r="A310" s="2104">
        <v>2</v>
      </c>
      <c r="B310" s="507">
        <v>1</v>
      </c>
      <c r="C310" s="2475" t="s">
        <v>134</v>
      </c>
      <c r="D310" s="2476"/>
      <c r="E310" s="2476"/>
      <c r="F310" s="2476"/>
      <c r="G310" s="2476"/>
      <c r="H310" s="2477"/>
      <c r="I310" s="404">
        <f>J310+L310</f>
        <v>2602.8999999999996</v>
      </c>
      <c r="J310" s="405">
        <f>J238+J281+J283+J285+J287+J293+J295+J298+J300+J303+J306+J236+J309</f>
        <v>266.2</v>
      </c>
      <c r="K310" s="405">
        <f>K238+K281+K283+K285+K287+K293+K295+K298+K300+K303+K306+K236+K309</f>
        <v>0</v>
      </c>
      <c r="L310" s="405">
        <f>L238+L281+L283+L285+L287+L293+L295+L298+L300+L303+L306+L236+L309</f>
        <v>2336.6999999999998</v>
      </c>
      <c r="M310" s="406">
        <f t="shared" ref="M310:M311" si="160">N310+P310</f>
        <v>2366.1999999999998</v>
      </c>
      <c r="N310" s="405">
        <f>N238+N281+N283+N285+N287+N293+N295+N298+N300+N303+N306+N236+N309</f>
        <v>1000</v>
      </c>
      <c r="O310" s="405">
        <f>O238+O281+O283+O285+O287+O293+O295+O298+O300+O303+O306+O236+O309</f>
        <v>0</v>
      </c>
      <c r="P310" s="405">
        <f>P238+P281+P283+P285+P287+P293+P295+P298+P300+P303+P306+P236+P309</f>
        <v>1366.2</v>
      </c>
      <c r="Q310" s="406">
        <f t="shared" si="158"/>
        <v>4940</v>
      </c>
      <c r="R310" s="405">
        <f>R238+R281+R283+R285+R287+R293+R295+R298+R300+R303+R306+R236+R309</f>
        <v>800</v>
      </c>
      <c r="S310" s="405">
        <f>S238+S281+S283+S285+S287+S293+S295+S298+S300+S303+S306+S236+S309</f>
        <v>0</v>
      </c>
      <c r="T310" s="405">
        <f>T238+T281+T283+T285+T287+T293+T295+T298+T300+T303+T306+T236+T309</f>
        <v>4140</v>
      </c>
      <c r="U310" s="406">
        <f t="shared" ref="U310:U311" si="161">V310+X310</f>
        <v>5845</v>
      </c>
      <c r="V310" s="405">
        <f>V238+V281+V283+V285+V287+V293+V295+V298+V300+V303+V306+V236+V309</f>
        <v>800</v>
      </c>
      <c r="W310" s="405">
        <f>W238+W281+W283+W285+W287+W293+W295+W298+W300+W303+W306+W236+W309</f>
        <v>0</v>
      </c>
      <c r="X310" s="448">
        <f>X238+X281+X283+X285+X287+X293+X295+X298+X300+X303+X306+X236+X309</f>
        <v>5045</v>
      </c>
    </row>
    <row r="311" spans="1:24" ht="24" customHeight="1" thickBot="1" x14ac:dyDescent="0.25">
      <c r="A311" s="508">
        <v>2</v>
      </c>
      <c r="B311" s="2478" t="s">
        <v>207</v>
      </c>
      <c r="C311" s="2479"/>
      <c r="D311" s="2479"/>
      <c r="E311" s="2479"/>
      <c r="F311" s="2479"/>
      <c r="G311" s="2479"/>
      <c r="H311" s="2480"/>
      <c r="I311" s="509">
        <f t="shared" ref="I311" si="162">SUM(I310,)</f>
        <v>2602.8999999999996</v>
      </c>
      <c r="J311" s="510">
        <f>SUM(J310)</f>
        <v>266.2</v>
      </c>
      <c r="K311" s="510">
        <f>SUM(K310)</f>
        <v>0</v>
      </c>
      <c r="L311" s="510">
        <f>SUM(L310)</f>
        <v>2336.6999999999998</v>
      </c>
      <c r="M311" s="509">
        <f t="shared" si="160"/>
        <v>2366.1999999999998</v>
      </c>
      <c r="N311" s="510">
        <f>SUM(N310)</f>
        <v>1000</v>
      </c>
      <c r="O311" s="510">
        <f>SUM(O310,)</f>
        <v>0</v>
      </c>
      <c r="P311" s="468">
        <f>SUM(P310)</f>
        <v>1366.2</v>
      </c>
      <c r="Q311" s="509">
        <f t="shared" si="158"/>
        <v>4940</v>
      </c>
      <c r="R311" s="510">
        <f>SUM(R310)</f>
        <v>800</v>
      </c>
      <c r="S311" s="510">
        <f>SUM(S310,)</f>
        <v>0</v>
      </c>
      <c r="T311" s="468">
        <f>SUM(T310)</f>
        <v>4140</v>
      </c>
      <c r="U311" s="509">
        <f t="shared" si="161"/>
        <v>5845</v>
      </c>
      <c r="V311" s="510">
        <f>SUM(V310)</f>
        <v>800</v>
      </c>
      <c r="W311" s="510">
        <f>SUM(W310,)</f>
        <v>0</v>
      </c>
      <c r="X311" s="468">
        <f>SUM(X310)</f>
        <v>5045</v>
      </c>
    </row>
    <row r="312" spans="1:24" ht="24" customHeight="1" thickBot="1" x14ac:dyDescent="0.25">
      <c r="A312" s="2481" t="s">
        <v>208</v>
      </c>
      <c r="B312" s="2482"/>
      <c r="C312" s="2482"/>
      <c r="D312" s="2482"/>
      <c r="E312" s="2482"/>
      <c r="F312" s="2482"/>
      <c r="G312" s="2482"/>
      <c r="H312" s="2482"/>
      <c r="I312" s="511">
        <f>J312+L312</f>
        <v>34761</v>
      </c>
      <c r="J312" s="512">
        <f>J311+J231</f>
        <v>31963</v>
      </c>
      <c r="K312" s="512">
        <f>K311+K231</f>
        <v>24712.899999999998</v>
      </c>
      <c r="L312" s="512">
        <f>L311+L231</f>
        <v>2798</v>
      </c>
      <c r="M312" s="513">
        <f>N312+P312</f>
        <v>41394.500000000007</v>
      </c>
      <c r="N312" s="512">
        <f>N311+N231</f>
        <v>38936.600000000006</v>
      </c>
      <c r="O312" s="512">
        <f>O311+O231</f>
        <v>29158.700000000004</v>
      </c>
      <c r="P312" s="512">
        <f>P311+P231</f>
        <v>2457.9</v>
      </c>
      <c r="Q312" s="513">
        <f>R312+T312</f>
        <v>42489.099999999991</v>
      </c>
      <c r="R312" s="512">
        <f>R311+R231</f>
        <v>38149.099999999991</v>
      </c>
      <c r="S312" s="512">
        <f>S311+S231</f>
        <v>29088.799999999999</v>
      </c>
      <c r="T312" s="514">
        <f>T311+T231</f>
        <v>4340</v>
      </c>
      <c r="U312" s="513">
        <f>V312+X312</f>
        <v>43194.099999999991</v>
      </c>
      <c r="V312" s="512">
        <f>V311+V231</f>
        <v>38149.099999999991</v>
      </c>
      <c r="W312" s="512">
        <f>W311+W231</f>
        <v>29088.799999999999</v>
      </c>
      <c r="X312" s="514">
        <f>X311</f>
        <v>5045</v>
      </c>
    </row>
    <row r="313" spans="1:24" ht="17.25" customHeight="1" x14ac:dyDescent="0.2">
      <c r="A313" s="2483" t="s">
        <v>209</v>
      </c>
      <c r="B313" s="2484"/>
      <c r="C313" s="2484"/>
      <c r="D313" s="2484"/>
      <c r="E313" s="2484"/>
      <c r="F313" s="2484"/>
      <c r="G313" s="2484"/>
      <c r="H313" s="2485"/>
      <c r="I313" s="515">
        <f>J313+L313</f>
        <v>15913.299999999996</v>
      </c>
      <c r="J313" s="516">
        <f>J193+J296+J294+J286+J284+J282+J261++J247+J249+J251+J252+J254+J256+J258+J259+J262+J189+J263+J264+J265+J266+J275+J245+J239+J267+J268+J269+J270+J237+J234+J219+J215+J213+J211+J207+J200+J195+J184+J182+J177+J173+J168+J163+J161+J152+J149+J140+J135+J130+J125+J120+J114+J107+J99+J92+J84+J76+J68+J61+J53+J45+J37+J30+J22+J14+J278+J274+J243+J241+J271+J273+J277+J276+J301+J304+J292+J187+J222+J224+J226+J228+J227+J225+J223+J307+J280+J158</f>
        <v>14916.299999999996</v>
      </c>
      <c r="K313" s="516">
        <f>K193+K296+K294+K286+K284+K282+K261++K247+K249+K251+K252+K254+K256+K258+K259+K262+K189+K263+K264+K265+K266+K275+K245+K239+K267+K268+K269+K270+K237+K234+K219+K215+K213+K211+K207+K200+K195+K184+K182+K177+K173+K168+K163+K161+K152+K149+K140+K135+K130+K125+K120+K114+K107+K99+K92+K84+K76+K68+K61+K53+K45+K37+K30+K22+K14+K278+K274+K243+K241+K271+K273+K277+K276+K301+K304+K292+K187+K222+K224+K226+K228+K227+K225+K223+K307+K280+K158</f>
        <v>10651.800000000001</v>
      </c>
      <c r="L313" s="516">
        <f>L193+L296+L294+L286+L284+L282+L261++L247+L249+L251+L252+L254+L256+L258+L259+L262+L189+L263+L264+L265+L266+L275+L245+L239+L267+L268+L269+L270+L237+L234+L219+L215+L213+L211+L207+L200+L195+L184+L182+L177+L173+L168+L163+L161+L152+L149+L140+L135+L130+L125+L120+L114+L107+L99+L92+L84+L76+L68+L61+L53+L45+L37+L30+L22+L14+L278+L274+L243+L241+L271+L273+L277+L276+L301+L304+L292+L187+L222+L224+L226+L228+L227+L225+L223+L307+L280+L158</f>
        <v>996.99999999999989</v>
      </c>
      <c r="M313" s="515">
        <f t="shared" ref="M313:M315" si="163">N313+P313</f>
        <v>17820.600000000002</v>
      </c>
      <c r="N313" s="516">
        <f>N193+N296+N294+N286+N284+N282+N261++N247+N249+N251+N252+N254+N256+N258+N259+N262+N189+N263+N264+N265+N266+N275+N245+N239+N267+N268+N269+N270+N237+N234+N219+N215+N213+N211+N207+N200+N195+N184+N182+N177+N173+N168+N163+N161+N152+N149+N140+N135+N130+N125+N120+N114+N107+N99+N92+N84+N76+N68+N61+N53+N45+N37+N30+N22+N14+N278+N274+N243+N241+N271+N273+N277+N276+N301+N304+N292+N187+N222+N224+N226+N228+N227+N225+N223+N307+N280+N158</f>
        <v>16865.900000000001</v>
      </c>
      <c r="O313" s="516">
        <f>O193+O296+O294+O286+O284+O282+O261++O247+O249+O251+O252+O254+O256+O258+O259+O262+O189+O263+O264+O265+O266+O275+O245+O239+O267+O268+O269+O270+O237+O234+O219+O215+O213+O211+O207+O200+O195+O184+O182+O177+O173+O168+O163+O161+O152+O149+O140+O135+O130+O125+O120+O114+O107+O99+O92+O84+O76+O68+O61+O53+O45+O37+O30+O22+O14+O278+O274+O243+O241+O271+O273+O277+O276+O301+O304+O292+O187+O222+O224+O226+O228+O227+O225+O223+O307+O280+O158</f>
        <v>12625.399999999998</v>
      </c>
      <c r="P313" s="516">
        <f>P193+P296+P294+P286+P284+P282+P261++P247+P249+P251+P252+P254+P256+P258+P259+P262+P189+P263+P264+P265+P266+P275+P245+P239+P267+P268+P269+P270+P237+P234+P219+P215+P213+P211+P207+P200+P195+P184+P182+P177+P173+P168+P163+P161+P152+P149+P140+P135+P130+P125+P120+P114+P107+P99+P92+P84+P76+P68+P61+P53+P45+P37+P30+P22+P14+P278+P274+P243+P241+P271+P273+P277+P276+P301+P304+P292+P187+P222+P224+P226+P228+P227+P225+P223+P307+P280+P158</f>
        <v>954.7</v>
      </c>
      <c r="Q313" s="515">
        <f t="shared" ref="Q313" si="164">R313+T313</f>
        <v>23164.400000000005</v>
      </c>
      <c r="R313" s="516">
        <f>R193+R296+R294+R286+R284+R282+R261++R247+R249+R251+R252+R254+R256+R258+R259+R262+R189+R263+R264+R265+R266+R275+R245+R239+R267+R268+R269+R270+R237+R234+R219+R215+R213+R211+R207+R200+R195+R184+R182+R177+R173+R168+R163+R161+R152+R149+R140+R135+R130+R125+R120+R114+R107+R99+R92+R84+R76+R68+R61+R53+R45+R37+R30+R22+R14+R278+R274+R243+R241+R271+R273+R277+R276+R301+R304+R292+R187+R222+R224+R226+R228+R227+R225+R223+R307+R280+R158</f>
        <v>19056.400000000005</v>
      </c>
      <c r="S313" s="516">
        <f>S193+S296+S294+S286+S284+S282+S261++S247+S249+S251+S252+S254+S256+S258+S259+S262+S189+S263+S264+S265+S266+S275+S245+S239+S267+S268+S269+S270+S237+S234+S219+S215+S213+S211+S207+S200+S195+S184+S182+S177+S173+S168+S163+S161+S152+S149+S140+S135+S130+S125+S120+S114+S107+S99+S92+S84+S76+S68+S61+S53+S45+S37+S30+S22+S14+S278+S274+S243+S241+S271+S273+S277+S276+S301+S304+S292+S187+S222+S224+S226+S228+S227+S225+S223+S307+S280+S158</f>
        <v>12745.799999999997</v>
      </c>
      <c r="T313" s="516">
        <f>T193+T296+T294+T286+T284+T282+T261++T247+T249+T251+T252+T254+T256+T258+T259+T262+T189+T263+T264+T265+T266+T275+T245+T239+T267+T268+T269+T270+T237+T234+T219+T215+T213+T211+T207+T200+T195+T184+T182+T177+T173+T168+T163+T161+T152+T149+T140+T135+T130+T125+T120+T114+T107+T99+T92+T84+T76+T68+T61+T53+T45+T37+T30+T22+T14+T278+T274+T243+T241+T271+T273+T277+T276+T301+T304+T292+T187+T222+T224+T226+T228+T227+T225+T223+T307+T280+T158</f>
        <v>4108</v>
      </c>
      <c r="U313" s="517">
        <f>V313+X313</f>
        <v>24101.400000000005</v>
      </c>
      <c r="V313" s="518">
        <f>V193+V296+V294+V286+V284+V282+V261++V247+V249+V251+V252+V254+V256+V258+V259+V262+V189+V263+V264+V265+V266+V275+V245+V239+V267+V268+V269+V270+V237+V234+V219+V215+V213+V211+V207+V200+V195+V184+V182+V177+V173+V168+V163+V161+V152+V149+V140+V135+V130+V125+V120+V114+V107+V99+V92+V84+V76+V68+V61+V53+V45+V37+V30+V22+V14+V278+V274+V243+V241+V271+V273+V277+V276+V301+V304+V292+V187+V222+V224+V226+V228+V227+V225+V223+V307+V280+V158</f>
        <v>19056.400000000005</v>
      </c>
      <c r="W313" s="518">
        <f>W193+W296+W294+W286+W284+W282+W261++W247+W249+W251+W252+W254+W256+W258+W259+W262+W189+W263+W264+W265+W266+W275+W245+W239+W267+W268+W269+W270+W237+W234+W219+W215+W213+W211+W207+W200+W195+W184+W182+W177+W173+W168+W163+W161+W152+W149+W140+W135+W130+W125+W120+W114+W107+W99+W92+W84+W76+W68+W61+W53+W45+W37+W30+W22+W14+W278+W274+W243+W241+W271+W273+W277+W276+W301+W304+W292+W187+W222+W224+W226+W228+W227+W225+W223+W307+W280+W158</f>
        <v>12745.799999999997</v>
      </c>
      <c r="X313" s="519">
        <f>X193+X296+X294+X286+X284+X282+X261++X247+X249+X251+X252+X254+X256+X258+X259+X262+X189+X263+X264+X265+X266+X275+X245+X239+X267+X268+X269+X270+X237+X234+X219+X215+X213+X211+X207+X200+X195+X184+X182+X177+X173+X168+X163+X161+X152+X149+X140+X135+X130+X125+X120+X114+X107+X99+X92+X84+X76+X68+X61+X53+X45+X37+X30+X22+X14+X278+X274+X243+X241+X271+X273+X277+X276+X301+X304+X292+X187+X222+X224+X226+X228+X227+X225+X223+X307+X280+X158</f>
        <v>5045</v>
      </c>
    </row>
    <row r="314" spans="1:24" ht="12.75" x14ac:dyDescent="0.2">
      <c r="A314" s="2464" t="s">
        <v>210</v>
      </c>
      <c r="B314" s="2465"/>
      <c r="C314" s="2465"/>
      <c r="D314" s="2465"/>
      <c r="E314" s="2465"/>
      <c r="F314" s="2465"/>
      <c r="G314" s="2465"/>
      <c r="H314" s="2466"/>
      <c r="I314" s="520">
        <f>J314+L314</f>
        <v>471.8</v>
      </c>
      <c r="J314" s="521">
        <f>J203+J198+J164+J157+J49+J26+J208+J142+J136+J126+J121+J116+J109+J94+J87+J79+J71+J55+J39+J17+J308+J131+J101+J62+J32+J205+J147</f>
        <v>471.8</v>
      </c>
      <c r="K314" s="521">
        <f>K203+K198+K164+K157+K49+K26+K208+K142+K136+K126+K121+K116+K109+K94+K87+K79+K71+K55+K39+K17+K308+K131+K101+K62+K32+K205+K147</f>
        <v>152.10000000000002</v>
      </c>
      <c r="L314" s="521">
        <f>L203+L198+L164+L157+L49+L26+L208+L142+L136+L126+L121+L116+L109+L94+L87+L79+L71+L55+L39+L17+L308+L131+L101+L62+L32+L205+L147</f>
        <v>0</v>
      </c>
      <c r="M314" s="1528">
        <f>N314+P314</f>
        <v>604.19999999999993</v>
      </c>
      <c r="N314" s="1527">
        <f>N203+N198+N164+N157+N49+N26+N208+N142+N136+N126+N121+N116+N109+N94+N87+N79+N71+N55+N39+N17+N308+N131+N101+N62+N32+N205+N147</f>
        <v>604.19999999999993</v>
      </c>
      <c r="O314" s="521">
        <f>O203+O198+O164+O157+O49+O26+O208+O142+O136+O126+O121+O116+O109+O94+O87+O79+O71+O55+O39+O17+O308+O131+O101+O62+O32+O205+O147</f>
        <v>338.1</v>
      </c>
      <c r="P314" s="521">
        <f>P203+P198+P164+P157+P49+P26+P208+P142+P136+P126+P121+P116+P109+P94+P87+P79+P71+P55+P39+P17+P308+P131+P101+P62+P32+P205+P147</f>
        <v>0</v>
      </c>
      <c r="Q314" s="520">
        <f>R314+T314</f>
        <v>598.9</v>
      </c>
      <c r="R314" s="521">
        <f>R203+R198+R164+R157+R49+R26+R208+R142+R136+R126+R121+R116+R109+R94+R87+R79+R71+R55+R39+R17+R308+R131+R101+R62+R32+R205+R147</f>
        <v>366.9</v>
      </c>
      <c r="S314" s="521">
        <f>S203+S198+S164+S157+S49+S26+S208+S142+S136+S126+S121+S116+S109+S94+S87+S79+S71+S55+S39+S17+S308+S131+S101+S62+S32+S205+S147</f>
        <v>103.5</v>
      </c>
      <c r="T314" s="521">
        <f>T203+T198+T164+T157+T49+T26+T208+T142+T136+T126+T121+T116+T109+T94+T87+T79+T71+T55+T39+T17+T308+T131+T101+T62+T32+T205+T147</f>
        <v>232</v>
      </c>
      <c r="U314" s="520">
        <f t="shared" ref="U314:U319" si="165">V314+X314</f>
        <v>366.9</v>
      </c>
      <c r="V314" s="521">
        <f>V203+V198+V164+V157+V49+V26+V208+V142+V136+V126+V121+V116+V109+V94+V87+V79+V71+V55+V39+V17+V308+V131+V101+V62+V32+V205+V147</f>
        <v>366.9</v>
      </c>
      <c r="W314" s="521">
        <f>W203+W198+W164+W157+W49+W26+W208+W142+W136+W126+W121+W116+W109+W94+W87+W79+W71+W55+W39+W17+W308+W131+W101+W62+W32+W205+W147</f>
        <v>103.5</v>
      </c>
      <c r="X314" s="522">
        <f>X203+X198+X164+X157+X49+X26+X208+X142+X136+X126+X121+X116+X109+X94+X87+X79+X71+X55+X39+X17+X308+X131+X101+X62+X32+X205+X147</f>
        <v>0</v>
      </c>
    </row>
    <row r="315" spans="1:24" ht="11.25" x14ac:dyDescent="0.2">
      <c r="A315" s="2464" t="s">
        <v>211</v>
      </c>
      <c r="B315" s="2465"/>
      <c r="C315" s="2465"/>
      <c r="D315" s="2465"/>
      <c r="E315" s="2465"/>
      <c r="F315" s="2465"/>
      <c r="G315" s="2465"/>
      <c r="H315" s="2466"/>
      <c r="I315" s="520">
        <f t="shared" ref="I315:I326" si="166">J315+L315</f>
        <v>186.39999999999998</v>
      </c>
      <c r="J315" s="521">
        <f>J178+J175+J171+J235+J165</f>
        <v>175.29999999999998</v>
      </c>
      <c r="K315" s="521">
        <f>K178+K175+K171+K235+K165</f>
        <v>0</v>
      </c>
      <c r="L315" s="521">
        <f>L178+L175+L171+L235+L165</f>
        <v>11.1</v>
      </c>
      <c r="M315" s="520">
        <f t="shared" si="163"/>
        <v>746.2</v>
      </c>
      <c r="N315" s="521">
        <f>N178+N175+N171+N235+N165</f>
        <v>350.4</v>
      </c>
      <c r="O315" s="521">
        <f>O178+O175+O171+O235+O165</f>
        <v>2.8</v>
      </c>
      <c r="P315" s="521">
        <f>P178+P175+P171+P235+P165</f>
        <v>395.8</v>
      </c>
      <c r="Q315" s="520">
        <f t="shared" ref="Q315" si="167">R315+T315</f>
        <v>0</v>
      </c>
      <c r="R315" s="521">
        <f>R178+R175+R171+R235+R165</f>
        <v>0</v>
      </c>
      <c r="S315" s="521">
        <f>S178+S175+S171+S235+S165</f>
        <v>0</v>
      </c>
      <c r="T315" s="521">
        <f>T178+T175+T171+T235+T165</f>
        <v>0</v>
      </c>
      <c r="U315" s="520">
        <f t="shared" si="165"/>
        <v>0</v>
      </c>
      <c r="V315" s="521">
        <f>V178+V175+V171+V235+V165</f>
        <v>0</v>
      </c>
      <c r="W315" s="521">
        <f>W178+W175+W171+W235+W165</f>
        <v>0</v>
      </c>
      <c r="X315" s="522">
        <f>X178+X175+X171+X235+X165</f>
        <v>0</v>
      </c>
    </row>
    <row r="316" spans="1:24" ht="11.25" x14ac:dyDescent="0.2">
      <c r="A316" s="2464" t="s">
        <v>212</v>
      </c>
      <c r="B316" s="2465"/>
      <c r="C316" s="2465"/>
      <c r="D316" s="2465"/>
      <c r="E316" s="2465"/>
      <c r="F316" s="2465"/>
      <c r="G316" s="2465"/>
      <c r="H316" s="2466"/>
      <c r="I316" s="520">
        <f t="shared" si="166"/>
        <v>1.2</v>
      </c>
      <c r="J316" s="521">
        <f>J174+J170+J166</f>
        <v>1.2</v>
      </c>
      <c r="K316" s="521">
        <f>K174+K170+K166</f>
        <v>0</v>
      </c>
      <c r="L316" s="521">
        <f>L174+L170+L166</f>
        <v>0</v>
      </c>
      <c r="M316" s="520">
        <f>N316+P316</f>
        <v>46</v>
      </c>
      <c r="N316" s="521">
        <f>N174+N170+N166</f>
        <v>10.3</v>
      </c>
      <c r="O316" s="521">
        <f>O174+O170+O166</f>
        <v>0.3</v>
      </c>
      <c r="P316" s="521">
        <f>P174+P170+P166</f>
        <v>35.700000000000003</v>
      </c>
      <c r="Q316" s="520">
        <f>R316+T316</f>
        <v>0</v>
      </c>
      <c r="R316" s="521">
        <f>R174+R170+R166</f>
        <v>0</v>
      </c>
      <c r="S316" s="521">
        <f>S174+S170+S166</f>
        <v>0</v>
      </c>
      <c r="T316" s="521">
        <f>T174+T170+T166</f>
        <v>0</v>
      </c>
      <c r="U316" s="520">
        <f>V316+X316</f>
        <v>0</v>
      </c>
      <c r="V316" s="521">
        <f>V174+V170+V166</f>
        <v>0</v>
      </c>
      <c r="W316" s="521">
        <f>W174+W170+W166</f>
        <v>0</v>
      </c>
      <c r="X316" s="522">
        <f>X174+X170+X166</f>
        <v>0</v>
      </c>
    </row>
    <row r="317" spans="1:24" ht="11.25" x14ac:dyDescent="0.2">
      <c r="A317" s="2464" t="s">
        <v>213</v>
      </c>
      <c r="B317" s="2465"/>
      <c r="C317" s="2465"/>
      <c r="D317" s="2465"/>
      <c r="E317" s="2465"/>
      <c r="F317" s="2465"/>
      <c r="G317" s="2465"/>
      <c r="H317" s="2466"/>
      <c r="I317" s="520">
        <f t="shared" si="166"/>
        <v>14451.199999999999</v>
      </c>
      <c r="J317" s="521">
        <f>J12+J20+J28+J35+J43+J51+J159+J59+J66+J74+J82+J90+J97+J105+J112+J119+J124+J129+J134+J139+J145+J155+J180+J196+J201</f>
        <v>14444.9</v>
      </c>
      <c r="K317" s="521">
        <f>K12+K20+K28+K35+K43+K51+K159+K59+K66+K74+K82+K90+K97+K105+K112+K119+K124+K129+K134+K139+K145+K155+K180+K196+K201</f>
        <v>13665.800000000001</v>
      </c>
      <c r="L317" s="521">
        <f>L12+L20+L28+L35+L43+L51+L159+L59+L66+L74+L82+L90+L97+L105+L112+L119+L124+L129+L134+L139+L145+L155+L180+L196+L201</f>
        <v>6.3</v>
      </c>
      <c r="M317" s="520">
        <f>N317+P317</f>
        <v>17270.8</v>
      </c>
      <c r="N317" s="521">
        <f>N12+N20+N28+N35+N43+N51+N159+N59+N66+N74+N82+N90+N97+N105+N112+N119+N124+N129+N134+N139+N145+N155+N180+N196+N201</f>
        <v>17270.8</v>
      </c>
      <c r="O317" s="521">
        <f>O12+O20+O28+O35+O43+O51+O159+O59+O66+O74+O82+O90+O97+O105+O112+O119+O124+O129+O134+O139+O145+O155+O180+O196+O201</f>
        <v>15941.599999999999</v>
      </c>
      <c r="P317" s="521">
        <f>P12+P20+P28+P35+P43+P51+P159+P59+P66+P74+P82+P90+P97+P105+P112+P119+P124+P129+P134+P139+P145+P155+P180+P196+P201</f>
        <v>0</v>
      </c>
      <c r="Q317" s="520">
        <f>R317+T317</f>
        <v>17270.8</v>
      </c>
      <c r="R317" s="521">
        <f>R12+R20+R28+R35+R43+R51+R159+R59+R66+R74+R82+R90+R97+R105+R112+R119+R124+R129+R134+R139+R145+R155+R180+R196+R201</f>
        <v>17270.8</v>
      </c>
      <c r="S317" s="521">
        <f>S12+S20+S28+S35+S43+S51+S159+S59+S66+S74+S82+S90+S97+S105+S112+S119+S124+S129+S134+S139+S145+S155+S180+S196+S201</f>
        <v>15989.000000000002</v>
      </c>
      <c r="T317" s="521">
        <f>T12+T20+T28+T35+T43+T51+T159+T59+T66+T74+T82+T90+T97+T105+T112+T119+T124+T129+T134+T139+T145+T155+T180+T196+T201</f>
        <v>0</v>
      </c>
      <c r="U317" s="520">
        <f t="shared" si="165"/>
        <v>17270.8</v>
      </c>
      <c r="V317" s="521">
        <f>V12+V20+V28+V35+V43+V51+V159+V59+V66+V74+V82+V90+V97+V105+V112+V119+V124+V129+V134+V139+V145+V155+V180+V196+V201</f>
        <v>17270.8</v>
      </c>
      <c r="W317" s="521">
        <f>W12+W20+W28+W35+W43+W51+W159+W59+W66+W74+W82+W90+W97+W105+W112+W119+W124+W129+W134+W139+W145+W155+W180+W196+W201</f>
        <v>15989.000000000002</v>
      </c>
      <c r="X317" s="522">
        <f>X12+X20+X28+X35+X43+X51+X159+X59+X66+X74+X82+X90+X97+X105+X112+X119+X124+X129+X134+X139+X145+X155+X180+X196+X201</f>
        <v>0</v>
      </c>
    </row>
    <row r="318" spans="1:24" ht="11.25" x14ac:dyDescent="0.2">
      <c r="A318" s="2464" t="s">
        <v>214</v>
      </c>
      <c r="B318" s="2465"/>
      <c r="C318" s="2465"/>
      <c r="D318" s="2465"/>
      <c r="E318" s="2465"/>
      <c r="F318" s="2465"/>
      <c r="G318" s="2465"/>
      <c r="H318" s="2466"/>
      <c r="I318" s="520">
        <f t="shared" si="166"/>
        <v>155.60000000000002</v>
      </c>
      <c r="J318" s="521">
        <f>J13+J21+J29+J36+J44+J52+J60+J67+J75+J83+J91+J98+J106+J113+J146</f>
        <v>128.30000000000001</v>
      </c>
      <c r="K318" s="521">
        <f>K13+K21+K29+K36+K44+K52+K60+K67+K75+K83+K91+K98+K106+K113+K146</f>
        <v>0</v>
      </c>
      <c r="L318" s="521">
        <f>L13+L21+L29+L36+L44+L52+L60+L67+L75+L83+L91+L98+L106+L113+L146</f>
        <v>27.3</v>
      </c>
      <c r="M318" s="520">
        <f>N318+P318</f>
        <v>0</v>
      </c>
      <c r="N318" s="521">
        <f>N13+N21+N29+N36+N44+N52+N60+N67+N75+N83+N91+N98+N106+N113+N146</f>
        <v>0</v>
      </c>
      <c r="O318" s="521">
        <f>O13+O21+O29+O36+O44+O52+O60+O67+O75+O83+O91+O98+O106+O113+O146</f>
        <v>0</v>
      </c>
      <c r="P318" s="521">
        <f>P13+P21+P29+P36+P44+P52+P60+P67+P75+P83+P91+P98+P106+P113+P146</f>
        <v>0</v>
      </c>
      <c r="Q318" s="520">
        <f>R318+T318</f>
        <v>0</v>
      </c>
      <c r="R318" s="521">
        <f>R13+R21+R29+R36+R44+R52+R60+R67+R75+R83+R91+R98+R106+R113+R146</f>
        <v>0</v>
      </c>
      <c r="S318" s="521">
        <f>S13+S21+S29+S36+S44+S52+S60+S67+S75+S83+S91+S98+S106+S113+S146</f>
        <v>0</v>
      </c>
      <c r="T318" s="521">
        <f>T13+T21+T29+T36+T44+T52+T60+T67+T75+T83+T91+T98+T106+T113+T146</f>
        <v>0</v>
      </c>
      <c r="U318" s="520">
        <f t="shared" si="165"/>
        <v>0</v>
      </c>
      <c r="V318" s="521">
        <f>V13+V21+V29+V36+V44+V52+V60+V67+V75+V83+V91+V98+V106+V113+V146</f>
        <v>0</v>
      </c>
      <c r="W318" s="521">
        <f>W13+W21+W29+W36+W44+W52+W60+W67+W75+W83+W91+W98+W106+W113+W146</f>
        <v>0</v>
      </c>
      <c r="X318" s="522">
        <f>X13+X21+X29+X36+X44+X52+X60+X67+X75+X83+X91+X98+X106+X113+X146</f>
        <v>0</v>
      </c>
    </row>
    <row r="319" spans="1:24" ht="11.25" x14ac:dyDescent="0.2">
      <c r="A319" s="2464" t="s">
        <v>215</v>
      </c>
      <c r="B319" s="2465"/>
      <c r="C319" s="2465"/>
      <c r="D319" s="2465"/>
      <c r="E319" s="2465"/>
      <c r="F319" s="2465"/>
      <c r="G319" s="2465"/>
      <c r="H319" s="2466"/>
      <c r="I319" s="520">
        <f t="shared" si="166"/>
        <v>1003.8000000000001</v>
      </c>
      <c r="J319" s="521">
        <f t="shared" ref="J319:T319" si="168">J18+J23+J33+J41+J46+J57+J64+J72+J80+J88+J95+J103+J110+J117+J122+J127+J132+J137+J143+J150+J197+J202+J220</f>
        <v>989.40000000000009</v>
      </c>
      <c r="K319" s="521">
        <f t="shared" si="168"/>
        <v>141.49999999999997</v>
      </c>
      <c r="L319" s="521">
        <f t="shared" si="168"/>
        <v>14.399999999999999</v>
      </c>
      <c r="M319" s="520">
        <f t="shared" si="168"/>
        <v>1464.0000000000002</v>
      </c>
      <c r="N319" s="521">
        <f t="shared" si="168"/>
        <v>1455.0000000000002</v>
      </c>
      <c r="O319" s="521">
        <f t="shared" si="168"/>
        <v>250.5</v>
      </c>
      <c r="P319" s="521">
        <f t="shared" si="168"/>
        <v>9</v>
      </c>
      <c r="Q319" s="521">
        <f t="shared" si="168"/>
        <v>1454.3000000000002</v>
      </c>
      <c r="R319" s="521">
        <f t="shared" si="168"/>
        <v>1455.0000000000002</v>
      </c>
      <c r="S319" s="521">
        <f t="shared" si="168"/>
        <v>250.5</v>
      </c>
      <c r="T319" s="521">
        <f t="shared" si="168"/>
        <v>0</v>
      </c>
      <c r="U319" s="520">
        <f t="shared" si="165"/>
        <v>1455.0000000000002</v>
      </c>
      <c r="V319" s="521">
        <f>V18+V23+V33+V41+V46+V57+V64+V72+V80+V88+V95+V103+V110+V117+V122+V127+V132+V137+V143+V150+V197+V202+V220</f>
        <v>1455.0000000000002</v>
      </c>
      <c r="W319" s="521">
        <f>W18+W23+W33+W41+W46+W57+W64+W72+W80+W88+W95+W103+W110+W117+W122+W127+W132+W137+W143+W150+W197+W202+W220</f>
        <v>250.5</v>
      </c>
      <c r="X319" s="522">
        <f>X18+X23+X33+X41+X46+X57+X64+X72+X80+X88+X95+X103+X110+X117+X122+X127+X132+X137+X143+X150+X197+X202+X220</f>
        <v>0</v>
      </c>
    </row>
    <row r="320" spans="1:24" ht="11.25" x14ac:dyDescent="0.2">
      <c r="A320" s="2464" t="s">
        <v>216</v>
      </c>
      <c r="B320" s="2465"/>
      <c r="C320" s="2465"/>
      <c r="D320" s="2465"/>
      <c r="E320" s="2465"/>
      <c r="F320" s="2465"/>
      <c r="G320" s="2465"/>
      <c r="H320" s="2466"/>
      <c r="I320" s="520">
        <f t="shared" si="166"/>
        <v>102.80000000000001</v>
      </c>
      <c r="J320" s="521">
        <f>SUM(J209,J38,J48,J54,J148,J15,J24,J31,J63,J69,J78,J85,J93,J102,J108,J115)</f>
        <v>102.80000000000001</v>
      </c>
      <c r="K320" s="521">
        <f>SUM(K209,K38,K48,K54,K148,K15,K24,K31,K63,K69,K78,K85,K93,K102,K108,K115)</f>
        <v>101.7</v>
      </c>
      <c r="L320" s="521">
        <f>SUM(L209,L38,L48,L54,L148,L15,L24,L31,L63,L69,L78,L85,L93,L102,L108,L115)</f>
        <v>0</v>
      </c>
      <c r="M320" s="520">
        <f>N320+P320</f>
        <v>0</v>
      </c>
      <c r="N320" s="521">
        <f>SUM(N209,N38,N48,N54,N148,N15,N24,N31,N63,N69,N78,N85,N93,N102,N108,N115)</f>
        <v>0</v>
      </c>
      <c r="O320" s="521">
        <f>SUM(O209,O38,O48,O54,O148,O15,O24,O31,O63,O69,O78,O85,O93,O102,O108,O115)</f>
        <v>0</v>
      </c>
      <c r="P320" s="521">
        <f>SUM(P209,P38,P48,P54,P148,P15,P24,P31,P63,P69,P78,P85,P93,P102,P108,P115)</f>
        <v>0</v>
      </c>
      <c r="Q320" s="520">
        <f>R320+T320</f>
        <v>0</v>
      </c>
      <c r="R320" s="521">
        <f>SUM(R209,R38,R48,R54,R148,R15,R24,R31,R63,R69,R78,R85,R93,R102,R108,R115)</f>
        <v>0</v>
      </c>
      <c r="S320" s="521">
        <f>SUM(S209,S38,S48,S54,S148,S15,S24,S31,S63,S69,S78,S85,S93,S102,S108,S115)</f>
        <v>0</v>
      </c>
      <c r="T320" s="521">
        <f>SUM(T209,T38,T48,T54,T148,T15,T24,T31,T63,T69,T78,T85,T93,T102,T108,T115)</f>
        <v>0</v>
      </c>
      <c r="U320" s="520">
        <f>V320+X320</f>
        <v>0</v>
      </c>
      <c r="V320" s="521">
        <f>SUM(V209,V38,V48,V54,V148,V15,V24,V31,V63,V69,V78,V85,V93,V102,V108,V115)</f>
        <v>0</v>
      </c>
      <c r="W320" s="521">
        <f>SUM(W209,W38,W48,W54,W148,W15,W24,W31,W63,W69,W78,W85,W93,W102,W108,W115)</f>
        <v>0</v>
      </c>
      <c r="X320" s="522">
        <f>SUM(X209,X38,X48,X54,X148,X15,X24,X31,X63,X69,X78,X85,X93,X102,X108,X115)</f>
        <v>0</v>
      </c>
    </row>
    <row r="321" spans="1:24" ht="11.25" x14ac:dyDescent="0.2">
      <c r="A321" s="2464" t="s">
        <v>217</v>
      </c>
      <c r="B321" s="2465"/>
      <c r="C321" s="2465"/>
      <c r="D321" s="2465"/>
      <c r="E321" s="2465"/>
      <c r="F321" s="2465"/>
      <c r="G321" s="2465"/>
      <c r="H321" s="2466"/>
      <c r="I321" s="520">
        <f>J321+L321</f>
        <v>1161.9999999999993</v>
      </c>
      <c r="J321" s="521">
        <f>J185+J154+J291+J56+J279+J240+J242+J244+J246+J248+J250+J253+J255+J257+J260+J272+J47+J40+J25+J16+J141+J100+J86+J77+J70</f>
        <v>513</v>
      </c>
      <c r="K321" s="521">
        <f t="shared" ref="K321:L321" si="169">K185+K154+K291+K56+K279+K240+K242+K244+K246+K248+K250+K253+K255+K257+K260+K272+K47+K40+K25+K16+K141+K100+K86+K77+K70</f>
        <v>0</v>
      </c>
      <c r="L321" s="521">
        <f t="shared" si="169"/>
        <v>648.99999999999932</v>
      </c>
      <c r="M321" s="520">
        <f>M154+M185</f>
        <v>2380</v>
      </c>
      <c r="N321" s="521">
        <f>N185+N154+N291+N56+N279+N240+N242+N244+N246+N248+N250+N253+N255+N257+N260+N272+N47+N40+N25+N16+N141+N100+N86+N77+N70</f>
        <v>2380</v>
      </c>
      <c r="O321" s="521">
        <f t="shared" ref="O321:P321" si="170">O185+O154+O291+O56+O279+O240+O242+O244+O246+O248+O250+O253+O255+O257+O260+O272+O47+O40+O25+O16+O141+O100+O86+O77+O70</f>
        <v>0</v>
      </c>
      <c r="P321" s="521">
        <f t="shared" si="170"/>
        <v>0</v>
      </c>
      <c r="Q321" s="520"/>
      <c r="R321" s="521">
        <f>R185+R154+R291+R56+R279+R240+R242+R244+R246+R248+R250+R253+R255+R257+R260+R272+R47+R40+R25+R16+R141+R100+R86+R77+R70</f>
        <v>0</v>
      </c>
      <c r="S321" s="521">
        <f t="shared" ref="S321:T321" si="171">S185+S154+S291+S56+S279+S240+S242+S244+S246+S248+S250+S253+S255+S257+S260+S272+S47+S40+S25+S16+S141+S100+S86+S77+S70</f>
        <v>0</v>
      </c>
      <c r="T321" s="521">
        <f t="shared" si="171"/>
        <v>0</v>
      </c>
      <c r="U321" s="520"/>
      <c r="V321" s="521">
        <f>V185+V154+V291+V56+V279+V240+V242+V244+V246+V248+V250+V253+V255+V257+V260+V272+V47+V40+V25+V16+V141+V100+V86+V77+V70</f>
        <v>0</v>
      </c>
      <c r="W321" s="521">
        <f t="shared" ref="W321:X321" si="172">W185+W154+W291+W56+W279+W240+W242+W244+W246+W248+W250+W253+W255+W257+W260+W272+W47+W40+W25+W16+W141+W100+W86+W77+W70</f>
        <v>0</v>
      </c>
      <c r="X321" s="522">
        <f t="shared" si="172"/>
        <v>0</v>
      </c>
    </row>
    <row r="322" spans="1:24" ht="28.5" customHeight="1" x14ac:dyDescent="0.2">
      <c r="A322" s="2464" t="s">
        <v>218</v>
      </c>
      <c r="B322" s="2465"/>
      <c r="C322" s="2465"/>
      <c r="D322" s="2465"/>
      <c r="E322" s="2465"/>
      <c r="F322" s="2465"/>
      <c r="G322" s="2465"/>
      <c r="H322" s="2466"/>
      <c r="I322" s="520">
        <f t="shared" si="166"/>
        <v>434</v>
      </c>
      <c r="J322" s="521">
        <f>J288</f>
        <v>0</v>
      </c>
      <c r="K322" s="521">
        <f>K288</f>
        <v>0</v>
      </c>
      <c r="L322" s="522">
        <f>L288</f>
        <v>434</v>
      </c>
      <c r="M322" s="520">
        <f>N322+P322</f>
        <v>775</v>
      </c>
      <c r="N322" s="521">
        <f>N288</f>
        <v>0</v>
      </c>
      <c r="O322" s="521">
        <f>O288</f>
        <v>0</v>
      </c>
      <c r="P322" s="522">
        <f>P288</f>
        <v>775</v>
      </c>
      <c r="Q322" s="520">
        <f>R322+T322</f>
        <v>0</v>
      </c>
      <c r="R322" s="521">
        <f>R288</f>
        <v>0</v>
      </c>
      <c r="S322" s="521">
        <f>S288</f>
        <v>0</v>
      </c>
      <c r="T322" s="522">
        <f>T288</f>
        <v>0</v>
      </c>
      <c r="U322" s="520">
        <f>V322+X322</f>
        <v>0</v>
      </c>
      <c r="V322" s="521">
        <f>V288</f>
        <v>0</v>
      </c>
      <c r="W322" s="521">
        <f>W288</f>
        <v>0</v>
      </c>
      <c r="X322" s="522">
        <f>X288</f>
        <v>0</v>
      </c>
    </row>
    <row r="323" spans="1:24" ht="23.25" customHeight="1" x14ac:dyDescent="0.2">
      <c r="A323" s="2464" t="s">
        <v>219</v>
      </c>
      <c r="B323" s="2465"/>
      <c r="C323" s="2465"/>
      <c r="D323" s="2465"/>
      <c r="E323" s="2465"/>
      <c r="F323" s="2465"/>
      <c r="G323" s="2465"/>
      <c r="H323" s="2466"/>
      <c r="I323" s="520">
        <f t="shared" si="166"/>
        <v>508.1</v>
      </c>
      <c r="J323" s="521">
        <f>J297+J153+J289</f>
        <v>220</v>
      </c>
      <c r="K323" s="521">
        <f>K297+K153+K289</f>
        <v>0</v>
      </c>
      <c r="L323" s="521">
        <f>L297+L153+L289</f>
        <v>288.10000000000002</v>
      </c>
      <c r="M323" s="520">
        <f t="shared" ref="M323:M324" si="173">N323+P323</f>
        <v>0</v>
      </c>
      <c r="N323" s="521">
        <f>N297+N153+N289</f>
        <v>0</v>
      </c>
      <c r="O323" s="521">
        <f>O297+O153+O289</f>
        <v>0</v>
      </c>
      <c r="P323" s="521">
        <f>P297+P153+P289</f>
        <v>0</v>
      </c>
      <c r="Q323" s="520">
        <f>R323+T323</f>
        <v>0</v>
      </c>
      <c r="R323" s="521">
        <f>R297+R153+R289</f>
        <v>0</v>
      </c>
      <c r="S323" s="521">
        <f>S297+S153+S289</f>
        <v>0</v>
      </c>
      <c r="T323" s="521">
        <f>T297+T153+T289</f>
        <v>0</v>
      </c>
      <c r="U323" s="520">
        <f>V323+X323</f>
        <v>0</v>
      </c>
      <c r="V323" s="521">
        <f>V297+V153+V289</f>
        <v>0</v>
      </c>
      <c r="W323" s="521">
        <f>W297+W153+W289</f>
        <v>0</v>
      </c>
      <c r="X323" s="522">
        <f>X297+X153+X289</f>
        <v>0</v>
      </c>
    </row>
    <row r="324" spans="1:24" ht="11.25" x14ac:dyDescent="0.2">
      <c r="A324" s="2467" t="s">
        <v>220</v>
      </c>
      <c r="B324" s="2468"/>
      <c r="C324" s="2468"/>
      <c r="D324" s="2468"/>
      <c r="E324" s="2468"/>
      <c r="F324" s="2468"/>
      <c r="G324" s="2468"/>
      <c r="H324" s="2469"/>
      <c r="I324" s="520">
        <f t="shared" si="166"/>
        <v>232.8</v>
      </c>
      <c r="J324" s="523">
        <f>J169+J290</f>
        <v>0</v>
      </c>
      <c r="K324" s="523">
        <f>K169+K290</f>
        <v>0</v>
      </c>
      <c r="L324" s="524">
        <f>L169+L290</f>
        <v>232.8</v>
      </c>
      <c r="M324" s="520">
        <f t="shared" si="173"/>
        <v>287.7</v>
      </c>
      <c r="N324" s="523">
        <f>N169+N290</f>
        <v>0</v>
      </c>
      <c r="O324" s="523">
        <f>O169+O290</f>
        <v>0</v>
      </c>
      <c r="P324" s="524">
        <f>P169+P290</f>
        <v>287.7</v>
      </c>
      <c r="Q324" s="525"/>
      <c r="R324" s="523">
        <f>R169+R290</f>
        <v>0</v>
      </c>
      <c r="S324" s="523">
        <f>S169+S290</f>
        <v>0</v>
      </c>
      <c r="T324" s="524">
        <f>T169+T290</f>
        <v>0</v>
      </c>
      <c r="U324" s="525"/>
      <c r="V324" s="523">
        <f>V169+V290</f>
        <v>0</v>
      </c>
      <c r="W324" s="523">
        <f>W169+W290</f>
        <v>0</v>
      </c>
      <c r="X324" s="524">
        <f>X169+X290</f>
        <v>0</v>
      </c>
    </row>
    <row r="325" spans="1:24" ht="12" thickBot="1" x14ac:dyDescent="0.25">
      <c r="A325" s="2458" t="s">
        <v>221</v>
      </c>
      <c r="B325" s="2459"/>
      <c r="C325" s="2459"/>
      <c r="D325" s="2459"/>
      <c r="E325" s="2459"/>
      <c r="F325" s="2459"/>
      <c r="G325" s="2459"/>
      <c r="H325" s="2460"/>
      <c r="I325" s="526">
        <f t="shared" si="166"/>
        <v>138</v>
      </c>
      <c r="J325" s="527">
        <f>J305+J302</f>
        <v>0</v>
      </c>
      <c r="K325" s="527">
        <f>K305+K302</f>
        <v>0</v>
      </c>
      <c r="L325" s="528">
        <f>L305+L302</f>
        <v>138</v>
      </c>
      <c r="M325" s="526">
        <f>N325+P325</f>
        <v>0</v>
      </c>
      <c r="N325" s="527">
        <f>N305+N302</f>
        <v>0</v>
      </c>
      <c r="O325" s="527">
        <f>O305+O302</f>
        <v>0</v>
      </c>
      <c r="P325" s="528">
        <f>P305+P302</f>
        <v>0</v>
      </c>
      <c r="Q325" s="526">
        <f>R325+T325</f>
        <v>0</v>
      </c>
      <c r="R325" s="527">
        <f>R305+R302</f>
        <v>0</v>
      </c>
      <c r="S325" s="527">
        <f>S305+S302</f>
        <v>0</v>
      </c>
      <c r="T325" s="528">
        <f>T305+T302</f>
        <v>0</v>
      </c>
      <c r="U325" s="526">
        <f>V325+X325</f>
        <v>0</v>
      </c>
      <c r="V325" s="527">
        <f>V305+V302</f>
        <v>0</v>
      </c>
      <c r="W325" s="527">
        <f>W305+W302</f>
        <v>0</v>
      </c>
      <c r="X325" s="528">
        <f>X305+X302</f>
        <v>0</v>
      </c>
    </row>
    <row r="326" spans="1:24" ht="12" thickBot="1" x14ac:dyDescent="0.25">
      <c r="A326" s="2461" t="s">
        <v>222</v>
      </c>
      <c r="B326" s="2462"/>
      <c r="C326" s="2462"/>
      <c r="D326" s="2462"/>
      <c r="E326" s="2462"/>
      <c r="F326" s="2462"/>
      <c r="G326" s="2462"/>
      <c r="H326" s="2462"/>
      <c r="I326" s="529">
        <f t="shared" si="166"/>
        <v>34760.999999999993</v>
      </c>
      <c r="J326" s="530">
        <f>SUM(J313:J325)</f>
        <v>31962.999999999993</v>
      </c>
      <c r="K326" s="530">
        <f>SUM(K313:K325)</f>
        <v>24712.900000000005</v>
      </c>
      <c r="L326" s="530">
        <f>SUM(L313:L325)</f>
        <v>2797.9999999999995</v>
      </c>
      <c r="M326" s="529">
        <f>N326+P326</f>
        <v>41394.500000000007</v>
      </c>
      <c r="N326" s="530">
        <f>SUM(N313:N325)</f>
        <v>38936.600000000006</v>
      </c>
      <c r="O326" s="530">
        <f>SUM(O313:O325)</f>
        <v>29158.699999999997</v>
      </c>
      <c r="P326" s="530">
        <f>SUM(P313:P325)</f>
        <v>2457.8999999999996</v>
      </c>
      <c r="Q326" s="529">
        <f>R326+T326</f>
        <v>42489.100000000006</v>
      </c>
      <c r="R326" s="530">
        <f>SUM(R313:R325)</f>
        <v>38149.100000000006</v>
      </c>
      <c r="S326" s="530">
        <f>SUM(S313:S325)</f>
        <v>29088.799999999999</v>
      </c>
      <c r="T326" s="530">
        <f>SUM(T313:T325)</f>
        <v>4340</v>
      </c>
      <c r="U326" s="526">
        <f>V326+X326</f>
        <v>43194.100000000006</v>
      </c>
      <c r="V326" s="530">
        <f>SUM(V313:V325)</f>
        <v>38149.100000000006</v>
      </c>
      <c r="W326" s="530">
        <f>SUM(W313:W325)</f>
        <v>29088.799999999999</v>
      </c>
      <c r="X326" s="531">
        <f>SUM(X313:X325)</f>
        <v>5045</v>
      </c>
    </row>
    <row r="327" spans="1:24" ht="24" customHeight="1" x14ac:dyDescent="0.2">
      <c r="A327" s="2454"/>
      <c r="B327" s="2454"/>
      <c r="C327" s="2454"/>
      <c r="D327" s="2454"/>
      <c r="E327" s="2454"/>
      <c r="F327" s="532"/>
      <c r="G327" s="532"/>
      <c r="H327" s="532"/>
      <c r="I327" s="342"/>
      <c r="J327" s="342"/>
      <c r="K327" s="342"/>
      <c r="L327" s="342"/>
    </row>
    <row r="328" spans="1:24" ht="24" customHeight="1" x14ac:dyDescent="0.2">
      <c r="A328" s="532"/>
      <c r="B328" s="532"/>
      <c r="C328" s="532"/>
      <c r="D328" s="2463"/>
      <c r="E328" s="2463"/>
      <c r="F328" s="2463"/>
      <c r="G328" s="2463"/>
      <c r="H328" s="2463"/>
      <c r="I328" s="343">
        <f t="shared" ref="I328:T328" si="174">I326-I312</f>
        <v>0</v>
      </c>
      <c r="J328" s="343">
        <f t="shared" si="174"/>
        <v>0</v>
      </c>
      <c r="K328" s="343">
        <f t="shared" si="174"/>
        <v>0</v>
      </c>
      <c r="L328" s="343">
        <f t="shared" si="174"/>
        <v>0</v>
      </c>
      <c r="M328" s="343">
        <f t="shared" si="174"/>
        <v>0</v>
      </c>
      <c r="N328" s="343">
        <f t="shared" si="174"/>
        <v>0</v>
      </c>
      <c r="O328" s="343">
        <f t="shared" si="174"/>
        <v>0</v>
      </c>
      <c r="P328" s="343">
        <f t="shared" si="174"/>
        <v>0</v>
      </c>
      <c r="Q328" s="343">
        <f t="shared" si="174"/>
        <v>0</v>
      </c>
      <c r="R328" s="343">
        <f t="shared" si="174"/>
        <v>0</v>
      </c>
      <c r="S328" s="343">
        <f t="shared" si="174"/>
        <v>0</v>
      </c>
      <c r="T328" s="343">
        <f t="shared" si="174"/>
        <v>0</v>
      </c>
      <c r="U328" s="343"/>
      <c r="V328" s="343">
        <f>V326-V312</f>
        <v>0</v>
      </c>
      <c r="W328" s="343">
        <f>W326-W312</f>
        <v>0</v>
      </c>
      <c r="X328" s="343">
        <f>X326-X312</f>
        <v>0</v>
      </c>
    </row>
    <row r="329" spans="1:24" ht="14.25" customHeight="1" x14ac:dyDescent="0.2">
      <c r="A329" s="532"/>
      <c r="B329" s="532"/>
      <c r="C329" s="532"/>
      <c r="D329" s="533"/>
      <c r="E329" s="2457"/>
      <c r="F329" s="2457"/>
      <c r="G329" s="2457"/>
      <c r="H329" s="532"/>
      <c r="I329" s="342"/>
      <c r="J329" s="342"/>
      <c r="K329" s="342"/>
      <c r="L329" s="342"/>
    </row>
    <row r="330" spans="1:24" ht="14.25" customHeight="1" x14ac:dyDescent="0.2">
      <c r="A330" s="532"/>
      <c r="B330" s="532"/>
      <c r="C330" s="532"/>
      <c r="D330" s="533"/>
      <c r="E330" s="2457"/>
      <c r="F330" s="2457"/>
      <c r="G330" s="2457"/>
      <c r="H330" s="532"/>
      <c r="I330" s="342"/>
      <c r="J330" s="342"/>
      <c r="K330" s="342"/>
      <c r="L330" s="342"/>
    </row>
    <row r="331" spans="1:24" ht="12.75" customHeight="1" x14ac:dyDescent="0.2">
      <c r="A331" s="532"/>
      <c r="B331" s="532"/>
      <c r="C331" s="532"/>
      <c r="D331" s="533"/>
      <c r="E331" s="2457"/>
      <c r="F331" s="2457"/>
      <c r="G331" s="2457"/>
      <c r="H331" s="2457"/>
      <c r="I331" s="342"/>
      <c r="J331" s="342"/>
      <c r="K331" s="342"/>
      <c r="L331" s="342"/>
    </row>
    <row r="332" spans="1:24" ht="13.5" customHeight="1" x14ac:dyDescent="0.2">
      <c r="A332" s="532"/>
      <c r="B332" s="532"/>
      <c r="C332" s="532"/>
      <c r="D332" s="534"/>
      <c r="E332" s="2455"/>
      <c r="F332" s="2455"/>
      <c r="G332" s="2455"/>
      <c r="H332" s="532"/>
      <c r="I332" s="342"/>
      <c r="J332" s="342"/>
      <c r="K332" s="342"/>
      <c r="L332" s="342"/>
    </row>
    <row r="333" spans="1:24" ht="15" customHeight="1" x14ac:dyDescent="0.2">
      <c r="A333" s="532"/>
      <c r="B333" s="532"/>
      <c r="C333" s="532"/>
      <c r="D333" s="534"/>
      <c r="E333" s="2457"/>
      <c r="F333" s="2457"/>
      <c r="G333" s="2457"/>
      <c r="H333" s="532"/>
      <c r="I333" s="342"/>
      <c r="J333" s="342"/>
      <c r="K333" s="342"/>
      <c r="L333" s="342"/>
    </row>
    <row r="334" spans="1:24" ht="14.25" customHeight="1" x14ac:dyDescent="0.2">
      <c r="A334" s="532"/>
      <c r="B334" s="532"/>
      <c r="C334" s="532"/>
      <c r="D334" s="534"/>
      <c r="E334" s="2457"/>
      <c r="F334" s="2457"/>
      <c r="G334" s="2457"/>
      <c r="H334" s="532"/>
      <c r="I334" s="342"/>
      <c r="J334" s="342"/>
      <c r="K334" s="342"/>
      <c r="L334" s="342">
        <v>0</v>
      </c>
    </row>
    <row r="335" spans="1:24" ht="15.75" customHeight="1" x14ac:dyDescent="0.2">
      <c r="A335" s="532"/>
      <c r="B335" s="532"/>
      <c r="C335" s="532"/>
      <c r="D335" s="534"/>
      <c r="E335" s="2457"/>
      <c r="F335" s="2457"/>
      <c r="G335" s="2457"/>
      <c r="H335" s="532"/>
      <c r="I335" s="342"/>
      <c r="J335" s="342"/>
      <c r="K335" s="342"/>
      <c r="L335" s="342"/>
    </row>
    <row r="336" spans="1:24" ht="14.25" customHeight="1" x14ac:dyDescent="0.2">
      <c r="A336" s="532"/>
      <c r="B336" s="532"/>
      <c r="C336" s="532"/>
      <c r="D336" s="534"/>
      <c r="E336" s="2457"/>
      <c r="F336" s="2457"/>
      <c r="G336" s="2457"/>
      <c r="H336" s="532"/>
      <c r="I336" s="342"/>
      <c r="J336" s="342"/>
      <c r="K336" s="342"/>
      <c r="L336" s="342"/>
    </row>
    <row r="337" spans="1:12" ht="14.25" customHeight="1" x14ac:dyDescent="0.2">
      <c r="B337" s="532"/>
      <c r="C337" s="532"/>
      <c r="D337" s="534"/>
      <c r="E337" s="2455"/>
      <c r="F337" s="2455"/>
      <c r="G337" s="2455"/>
      <c r="H337" s="532"/>
      <c r="I337" s="342"/>
      <c r="J337" s="342"/>
      <c r="K337" s="342"/>
      <c r="L337" s="342"/>
    </row>
    <row r="338" spans="1:12" ht="21.75" customHeight="1" x14ac:dyDescent="0.2">
      <c r="A338" s="532"/>
      <c r="B338" s="532"/>
      <c r="C338" s="532"/>
      <c r="D338" s="534"/>
      <c r="E338" s="2457"/>
      <c r="F338" s="2457"/>
      <c r="G338" s="2457"/>
      <c r="H338" s="532"/>
      <c r="I338" s="342"/>
      <c r="J338" s="342"/>
      <c r="K338" s="342"/>
      <c r="L338" s="342"/>
    </row>
    <row r="339" spans="1:12" ht="15.75" customHeight="1" x14ac:dyDescent="0.2">
      <c r="A339" s="532"/>
      <c r="B339" s="532"/>
      <c r="C339" s="532"/>
      <c r="D339" s="534"/>
      <c r="E339" s="2457"/>
      <c r="F339" s="2457"/>
      <c r="G339" s="2457"/>
      <c r="H339" s="532"/>
      <c r="I339" s="342"/>
      <c r="J339" s="342"/>
      <c r="K339" s="342"/>
      <c r="L339" s="342"/>
    </row>
    <row r="340" spans="1:12" ht="13.5" customHeight="1" x14ac:dyDescent="0.2">
      <c r="A340" s="532"/>
      <c r="B340" s="532"/>
      <c r="C340" s="532"/>
      <c r="D340" s="534"/>
      <c r="E340" s="2457"/>
      <c r="F340" s="2457"/>
      <c r="G340" s="2457"/>
      <c r="H340" s="532"/>
      <c r="I340" s="342"/>
      <c r="J340" s="342"/>
      <c r="K340" s="342"/>
      <c r="L340" s="342"/>
    </row>
    <row r="341" spans="1:12" ht="13.5" customHeight="1" x14ac:dyDescent="0.2">
      <c r="A341" s="532"/>
      <c r="B341" s="532"/>
      <c r="C341" s="532"/>
      <c r="D341" s="534"/>
      <c r="E341" s="2455"/>
      <c r="F341" s="2455"/>
      <c r="G341" s="2455"/>
      <c r="H341" s="532"/>
      <c r="I341" s="342"/>
      <c r="J341" s="342"/>
      <c r="K341" s="342"/>
      <c r="L341" s="342"/>
    </row>
    <row r="342" spans="1:12" ht="19.5" customHeight="1" x14ac:dyDescent="0.2">
      <c r="A342" s="532"/>
      <c r="B342" s="532"/>
      <c r="C342" s="532"/>
      <c r="D342" s="534"/>
      <c r="E342" s="2457"/>
      <c r="F342" s="2457"/>
      <c r="G342" s="2457"/>
      <c r="H342" s="532"/>
      <c r="I342" s="342"/>
      <c r="J342" s="342"/>
      <c r="K342" s="342"/>
      <c r="L342" s="342"/>
    </row>
    <row r="343" spans="1:12" ht="21" customHeight="1" x14ac:dyDescent="0.2">
      <c r="A343" s="532"/>
      <c r="B343" s="532"/>
      <c r="C343" s="532"/>
      <c r="D343" s="534"/>
      <c r="E343" s="2457"/>
      <c r="F343" s="2457"/>
      <c r="G343" s="2457"/>
      <c r="H343" s="532"/>
      <c r="I343" s="342"/>
      <c r="J343" s="342"/>
      <c r="K343" s="342"/>
      <c r="L343" s="342"/>
    </row>
    <row r="344" spans="1:12" ht="21" customHeight="1" x14ac:dyDescent="0.2">
      <c r="A344" s="532"/>
      <c r="B344" s="532"/>
      <c r="C344" s="532"/>
      <c r="D344" s="534"/>
      <c r="E344" s="2457"/>
      <c r="F344" s="2457"/>
      <c r="G344" s="2457"/>
      <c r="H344" s="532"/>
      <c r="I344" s="342"/>
      <c r="J344" s="342"/>
      <c r="K344" s="342"/>
      <c r="L344" s="342"/>
    </row>
    <row r="345" spans="1:12" ht="20.25" customHeight="1" x14ac:dyDescent="0.2">
      <c r="A345" s="532"/>
      <c r="B345" s="532"/>
      <c r="C345" s="532"/>
      <c r="D345" s="534"/>
      <c r="E345" s="2457"/>
      <c r="F345" s="2457"/>
      <c r="G345" s="2457"/>
      <c r="H345" s="532"/>
      <c r="I345" s="342"/>
      <c r="J345" s="342"/>
      <c r="K345" s="342"/>
      <c r="L345" s="342"/>
    </row>
    <row r="346" spans="1:12" ht="14.25" customHeight="1" x14ac:dyDescent="0.2">
      <c r="A346" s="532"/>
      <c r="B346" s="532"/>
      <c r="C346" s="532"/>
      <c r="D346" s="534"/>
      <c r="E346" s="2455"/>
      <c r="F346" s="2455"/>
      <c r="G346" s="2455"/>
      <c r="H346" s="532"/>
      <c r="I346" s="342"/>
      <c r="J346" s="342"/>
      <c r="K346" s="342"/>
      <c r="L346" s="342"/>
    </row>
    <row r="347" spans="1:12" ht="13.5" customHeight="1" x14ac:dyDescent="0.2">
      <c r="A347" s="532"/>
      <c r="B347" s="532"/>
      <c r="C347" s="532"/>
      <c r="D347" s="534"/>
      <c r="E347" s="2457"/>
      <c r="F347" s="2457"/>
      <c r="G347" s="2457"/>
      <c r="H347" s="532"/>
      <c r="I347" s="342"/>
      <c r="J347" s="342"/>
      <c r="K347" s="342"/>
      <c r="L347" s="342"/>
    </row>
    <row r="348" spans="1:12" ht="15" customHeight="1" x14ac:dyDescent="0.2">
      <c r="A348" s="532"/>
      <c r="B348" s="532"/>
      <c r="C348" s="532"/>
      <c r="D348" s="534"/>
      <c r="E348" s="2457"/>
      <c r="F348" s="2457"/>
      <c r="G348" s="2457"/>
      <c r="H348" s="532"/>
      <c r="I348" s="342"/>
      <c r="J348" s="342"/>
      <c r="K348" s="342"/>
      <c r="L348" s="342"/>
    </row>
    <row r="349" spans="1:12" ht="13.5" customHeight="1" x14ac:dyDescent="0.2">
      <c r="A349" s="532"/>
      <c r="B349" s="532"/>
      <c r="C349" s="532"/>
      <c r="D349" s="534"/>
      <c r="E349" s="2457"/>
      <c r="F349" s="2457"/>
      <c r="G349" s="2457"/>
      <c r="H349" s="532"/>
      <c r="I349" s="342"/>
      <c r="J349" s="342"/>
      <c r="K349" s="342"/>
      <c r="L349" s="342"/>
    </row>
    <row r="350" spans="1:12" ht="14.25" customHeight="1" x14ac:dyDescent="0.2">
      <c r="A350" s="532"/>
      <c r="B350" s="532"/>
      <c r="C350" s="532"/>
      <c r="D350" s="534"/>
      <c r="E350" s="2457"/>
      <c r="F350" s="2457"/>
      <c r="G350" s="2457"/>
      <c r="H350" s="532"/>
      <c r="I350" s="342"/>
      <c r="J350" s="342"/>
      <c r="K350" s="342"/>
      <c r="L350" s="342"/>
    </row>
    <row r="351" spans="1:12" ht="18.75" customHeight="1" x14ac:dyDescent="0.2">
      <c r="A351" s="532"/>
      <c r="B351" s="532"/>
      <c r="C351" s="532"/>
      <c r="D351" s="534"/>
      <c r="E351" s="2455"/>
      <c r="F351" s="2455"/>
      <c r="G351" s="2455"/>
      <c r="H351" s="532"/>
      <c r="I351" s="342"/>
      <c r="J351" s="342"/>
      <c r="K351" s="342"/>
      <c r="L351" s="342"/>
    </row>
    <row r="352" spans="1:12" ht="13.5" customHeight="1" x14ac:dyDescent="0.2">
      <c r="A352" s="532"/>
      <c r="B352" s="532"/>
      <c r="C352" s="532"/>
      <c r="D352" s="534"/>
      <c r="E352" s="2457"/>
      <c r="F352" s="2457"/>
      <c r="G352" s="2457"/>
      <c r="H352" s="532"/>
      <c r="I352" s="342"/>
      <c r="J352" s="342"/>
      <c r="K352" s="342"/>
      <c r="L352" s="342"/>
    </row>
    <row r="353" spans="1:12" ht="13.5" customHeight="1" x14ac:dyDescent="0.2">
      <c r="A353" s="532"/>
      <c r="B353" s="532"/>
      <c r="C353" s="532"/>
      <c r="D353" s="534"/>
      <c r="E353" s="2457"/>
      <c r="F353" s="2457"/>
      <c r="G353" s="2457"/>
      <c r="H353" s="532"/>
      <c r="I353" s="342"/>
      <c r="J353" s="342"/>
      <c r="K353" s="342"/>
      <c r="L353" s="342"/>
    </row>
    <row r="354" spans="1:12" ht="14.25" customHeight="1" x14ac:dyDescent="0.2">
      <c r="A354" s="532"/>
      <c r="B354" s="532"/>
      <c r="C354" s="532"/>
      <c r="D354" s="534"/>
      <c r="E354" s="2455"/>
      <c r="F354" s="2455"/>
      <c r="G354" s="2455"/>
      <c r="H354" s="532"/>
      <c r="I354" s="342"/>
      <c r="J354" s="342"/>
      <c r="K354" s="342"/>
      <c r="L354" s="342"/>
    </row>
    <row r="355" spans="1:12" ht="14.25" customHeight="1" x14ac:dyDescent="0.2">
      <c r="A355" s="532"/>
      <c r="B355" s="532"/>
      <c r="C355" s="532"/>
      <c r="D355" s="534"/>
      <c r="E355" s="2457"/>
      <c r="F355" s="2457"/>
      <c r="G355" s="2457"/>
      <c r="H355" s="532"/>
      <c r="I355" s="342"/>
      <c r="J355" s="342"/>
      <c r="K355" s="342"/>
      <c r="L355" s="342"/>
    </row>
    <row r="356" spans="1:12" ht="13.5" customHeight="1" x14ac:dyDescent="0.2">
      <c r="A356" s="532"/>
      <c r="B356" s="532"/>
      <c r="C356" s="532"/>
      <c r="D356" s="534"/>
      <c r="E356" s="2457"/>
      <c r="F356" s="2457"/>
      <c r="G356" s="2457"/>
      <c r="H356" s="532"/>
      <c r="I356" s="342"/>
      <c r="J356" s="342"/>
      <c r="K356" s="342"/>
      <c r="L356" s="342"/>
    </row>
    <row r="357" spans="1:12" ht="15" customHeight="1" x14ac:dyDescent="0.2">
      <c r="A357" s="532"/>
      <c r="B357" s="532"/>
      <c r="C357" s="532"/>
      <c r="D357" s="534"/>
      <c r="E357" s="2457"/>
      <c r="F357" s="2457"/>
      <c r="G357" s="2457"/>
      <c r="H357" s="532"/>
      <c r="I357" s="342"/>
      <c r="J357" s="342"/>
      <c r="K357" s="342"/>
      <c r="L357" s="342"/>
    </row>
    <row r="358" spans="1:12" ht="12.75" customHeight="1" x14ac:dyDescent="0.2">
      <c r="A358" s="532"/>
      <c r="B358" s="532"/>
      <c r="C358" s="532"/>
      <c r="D358" s="534"/>
      <c r="E358" s="2457"/>
      <c r="F358" s="2457"/>
      <c r="G358" s="2457"/>
      <c r="H358" s="532"/>
      <c r="I358" s="342"/>
      <c r="J358" s="342"/>
      <c r="K358" s="342"/>
      <c r="L358" s="342"/>
    </row>
    <row r="359" spans="1:12" ht="13.5" customHeight="1" x14ac:dyDescent="0.2">
      <c r="B359" s="532"/>
      <c r="C359" s="532"/>
      <c r="D359" s="534"/>
      <c r="E359" s="2455"/>
      <c r="F359" s="2455"/>
      <c r="G359" s="2455"/>
      <c r="H359" s="532"/>
      <c r="I359" s="342"/>
      <c r="J359" s="342"/>
      <c r="K359" s="342"/>
      <c r="L359" s="342"/>
    </row>
    <row r="360" spans="1:12" ht="12.75" customHeight="1" x14ac:dyDescent="0.2">
      <c r="A360" s="532"/>
      <c r="B360" s="532"/>
      <c r="C360" s="532"/>
      <c r="D360" s="534"/>
      <c r="E360" s="2457"/>
      <c r="F360" s="2457"/>
      <c r="G360" s="532"/>
      <c r="H360" s="532"/>
      <c r="I360" s="342"/>
      <c r="J360" s="342"/>
      <c r="K360" s="342"/>
      <c r="L360" s="342"/>
    </row>
    <row r="361" spans="1:12" ht="14.25" customHeight="1" x14ac:dyDescent="0.2">
      <c r="A361" s="532"/>
      <c r="B361" s="532"/>
      <c r="C361" s="532"/>
      <c r="D361" s="534"/>
      <c r="E361" s="2457"/>
      <c r="F361" s="2457"/>
      <c r="G361" s="2457"/>
      <c r="H361" s="532"/>
      <c r="I361" s="342"/>
      <c r="J361" s="342"/>
      <c r="K361" s="342"/>
      <c r="L361" s="342"/>
    </row>
    <row r="362" spans="1:12" ht="13.5" customHeight="1" x14ac:dyDescent="0.2">
      <c r="A362" s="532"/>
      <c r="B362" s="532"/>
      <c r="C362" s="532"/>
      <c r="D362" s="534"/>
      <c r="E362" s="2457"/>
      <c r="F362" s="2457"/>
      <c r="G362" s="2457"/>
      <c r="H362" s="532"/>
      <c r="I362" s="342"/>
      <c r="J362" s="342"/>
      <c r="K362" s="342"/>
      <c r="L362" s="342"/>
    </row>
    <row r="363" spans="1:12" ht="12.75" customHeight="1" x14ac:dyDescent="0.2">
      <c r="A363" s="532"/>
      <c r="B363" s="532"/>
      <c r="C363" s="532"/>
      <c r="D363" s="534"/>
      <c r="E363" s="2457"/>
      <c r="F363" s="2457"/>
      <c r="G363" s="2457"/>
      <c r="H363" s="532"/>
      <c r="I363" s="342"/>
      <c r="J363" s="342"/>
      <c r="K363" s="342"/>
      <c r="L363" s="342"/>
    </row>
    <row r="364" spans="1:12" ht="12.75" customHeight="1" x14ac:dyDescent="0.2">
      <c r="A364" s="532"/>
      <c r="B364" s="532"/>
      <c r="C364" s="532"/>
      <c r="D364" s="534"/>
      <c r="E364" s="2457"/>
      <c r="F364" s="2457"/>
      <c r="G364" s="2457"/>
      <c r="H364" s="532"/>
      <c r="I364" s="342"/>
      <c r="J364" s="342"/>
      <c r="K364" s="342"/>
      <c r="L364" s="342"/>
    </row>
    <row r="365" spans="1:12" ht="12.75" customHeight="1" x14ac:dyDescent="0.2">
      <c r="A365" s="532"/>
      <c r="B365" s="532"/>
      <c r="C365" s="532"/>
      <c r="D365" s="534"/>
      <c r="E365" s="2457"/>
      <c r="F365" s="2457"/>
      <c r="G365" s="2457"/>
      <c r="H365" s="532"/>
      <c r="I365" s="342"/>
      <c r="J365" s="342"/>
      <c r="K365" s="342"/>
      <c r="L365" s="342"/>
    </row>
    <row r="366" spans="1:12" ht="12.75" customHeight="1" x14ac:dyDescent="0.2">
      <c r="A366" s="532"/>
      <c r="B366" s="532"/>
      <c r="C366" s="532"/>
      <c r="D366" s="534"/>
      <c r="E366" s="2457"/>
      <c r="F366" s="2457"/>
      <c r="G366" s="536"/>
      <c r="H366" s="532"/>
      <c r="I366" s="342"/>
      <c r="J366" s="342"/>
      <c r="K366" s="342"/>
      <c r="L366" s="342"/>
    </row>
    <row r="367" spans="1:12" ht="14.25" customHeight="1" x14ac:dyDescent="0.2">
      <c r="A367" s="532"/>
      <c r="B367" s="532"/>
      <c r="C367" s="532"/>
      <c r="D367" s="534"/>
      <c r="E367" s="2455"/>
      <c r="F367" s="2455"/>
      <c r="G367" s="2455"/>
      <c r="H367" s="532"/>
      <c r="I367" s="342"/>
      <c r="J367" s="342"/>
      <c r="K367" s="342"/>
      <c r="L367" s="342"/>
    </row>
    <row r="368" spans="1:12" ht="17.25" customHeight="1" x14ac:dyDescent="0.2">
      <c r="A368" s="532"/>
      <c r="B368" s="532"/>
      <c r="C368" s="532"/>
      <c r="D368" s="537"/>
      <c r="E368" s="2456"/>
      <c r="F368" s="2456"/>
      <c r="G368" s="2456"/>
      <c r="H368" s="532"/>
      <c r="I368" s="342"/>
      <c r="J368" s="342"/>
      <c r="K368" s="342"/>
      <c r="L368" s="342"/>
    </row>
    <row r="369" spans="1:12" ht="24" customHeight="1" x14ac:dyDescent="0.2">
      <c r="A369" s="532"/>
      <c r="B369" s="532"/>
      <c r="C369" s="532"/>
      <c r="D369" s="537"/>
      <c r="E369" s="538"/>
      <c r="F369" s="532"/>
      <c r="G369" s="532"/>
      <c r="H369" s="532"/>
      <c r="I369" s="342"/>
      <c r="J369" s="342"/>
      <c r="K369" s="342"/>
      <c r="L369" s="342"/>
    </row>
    <row r="370" spans="1:12" ht="24" customHeight="1" x14ac:dyDescent="0.2">
      <c r="A370" s="532"/>
      <c r="B370" s="532"/>
      <c r="C370" s="532"/>
      <c r="D370" s="537"/>
      <c r="E370" s="538"/>
      <c r="F370" s="532"/>
      <c r="G370" s="532"/>
      <c r="H370" s="532"/>
      <c r="I370" s="342"/>
      <c r="J370" s="342"/>
      <c r="K370" s="342"/>
      <c r="L370" s="342"/>
    </row>
    <row r="371" spans="1:12" ht="24" customHeight="1" x14ac:dyDescent="0.2">
      <c r="A371" s="532"/>
      <c r="B371" s="532"/>
      <c r="C371" s="532"/>
      <c r="D371" s="537"/>
      <c r="E371" s="538"/>
      <c r="F371" s="532"/>
      <c r="G371" s="532"/>
      <c r="H371" s="532"/>
      <c r="I371" s="342"/>
      <c r="J371" s="342"/>
      <c r="K371" s="342"/>
      <c r="L371" s="342"/>
    </row>
    <row r="372" spans="1:12" ht="24" customHeight="1" x14ac:dyDescent="0.2">
      <c r="A372" s="2454"/>
      <c r="B372" s="2454"/>
      <c r="C372" s="2454"/>
      <c r="D372" s="2454"/>
      <c r="E372" s="2454"/>
      <c r="F372" s="532"/>
      <c r="G372" s="532"/>
      <c r="H372" s="532"/>
      <c r="I372" s="342"/>
      <c r="J372" s="342"/>
      <c r="K372" s="342"/>
      <c r="L372" s="342"/>
    </row>
    <row r="373" spans="1:12" ht="24" customHeight="1" x14ac:dyDescent="0.2">
      <c r="A373" s="532"/>
      <c r="B373" s="532"/>
      <c r="C373" s="532"/>
      <c r="D373" s="537"/>
      <c r="E373" s="538"/>
      <c r="F373" s="532"/>
      <c r="G373" s="532"/>
      <c r="H373" s="532"/>
      <c r="I373" s="342"/>
      <c r="J373" s="342"/>
      <c r="K373" s="342"/>
      <c r="L373" s="342"/>
    </row>
    <row r="374" spans="1:12" ht="24" customHeight="1" x14ac:dyDescent="0.2">
      <c r="A374" s="532"/>
      <c r="B374" s="532"/>
      <c r="C374" s="532"/>
      <c r="D374" s="537"/>
      <c r="E374" s="538"/>
      <c r="F374" s="532"/>
      <c r="G374" s="532"/>
      <c r="H374" s="532"/>
      <c r="I374" s="342"/>
      <c r="J374" s="342"/>
      <c r="K374" s="342"/>
      <c r="L374" s="342"/>
    </row>
    <row r="375" spans="1:12" ht="24" customHeight="1" x14ac:dyDescent="0.2">
      <c r="A375" s="532"/>
      <c r="B375" s="532"/>
      <c r="C375" s="532"/>
      <c r="D375" s="537"/>
      <c r="E375" s="538"/>
      <c r="F375" s="532"/>
      <c r="G375" s="532"/>
      <c r="H375" s="532"/>
      <c r="I375" s="342"/>
      <c r="J375" s="342"/>
      <c r="K375" s="342"/>
      <c r="L375" s="342"/>
    </row>
    <row r="376" spans="1:12" ht="24" customHeight="1" x14ac:dyDescent="0.2">
      <c r="A376" s="2454"/>
      <c r="B376" s="2454"/>
      <c r="C376" s="2454"/>
      <c r="D376" s="2454"/>
      <c r="E376" s="2454"/>
      <c r="F376" s="532"/>
      <c r="G376" s="532"/>
      <c r="H376" s="532"/>
      <c r="I376" s="342"/>
      <c r="J376" s="342"/>
      <c r="K376" s="342"/>
      <c r="L376" s="342"/>
    </row>
    <row r="377" spans="1:12" ht="24" customHeight="1" x14ac:dyDescent="0.2">
      <c r="A377" s="532"/>
      <c r="B377" s="532"/>
      <c r="C377" s="532"/>
      <c r="D377" s="537"/>
      <c r="E377" s="538"/>
      <c r="F377" s="532"/>
      <c r="G377" s="532"/>
      <c r="H377" s="532"/>
      <c r="I377" s="342"/>
      <c r="J377" s="342"/>
      <c r="K377" s="342"/>
      <c r="L377" s="342"/>
    </row>
    <row r="378" spans="1:12" ht="24" customHeight="1" x14ac:dyDescent="0.2">
      <c r="A378" s="532"/>
      <c r="B378" s="532"/>
      <c r="C378" s="532"/>
      <c r="D378" s="537"/>
      <c r="E378" s="538"/>
      <c r="F378" s="532"/>
      <c r="G378" s="532"/>
      <c r="H378" s="532"/>
      <c r="I378" s="342"/>
      <c r="J378" s="342"/>
      <c r="K378" s="342"/>
      <c r="L378" s="342"/>
    </row>
    <row r="379" spans="1:12" ht="24" customHeight="1" x14ac:dyDescent="0.2">
      <c r="A379" s="532"/>
      <c r="B379" s="532"/>
      <c r="C379" s="532"/>
      <c r="D379" s="537"/>
      <c r="E379" s="538"/>
      <c r="F379" s="532"/>
      <c r="G379" s="532"/>
      <c r="H379" s="532"/>
      <c r="I379" s="342"/>
      <c r="J379" s="342"/>
      <c r="K379" s="342"/>
      <c r="L379" s="342"/>
    </row>
    <row r="380" spans="1:12" ht="24" customHeight="1" x14ac:dyDescent="0.2">
      <c r="A380" s="2454"/>
      <c r="B380" s="2454"/>
      <c r="C380" s="2454"/>
      <c r="D380" s="2454"/>
      <c r="E380" s="2454"/>
      <c r="F380" s="532"/>
      <c r="G380" s="532"/>
      <c r="H380" s="532"/>
      <c r="I380" s="342"/>
      <c r="J380" s="342"/>
      <c r="K380" s="342"/>
      <c r="L380" s="342"/>
    </row>
    <row r="381" spans="1:12" ht="24" customHeight="1" x14ac:dyDescent="0.2">
      <c r="A381" s="532"/>
      <c r="B381" s="532"/>
      <c r="C381" s="532"/>
      <c r="D381" s="537"/>
      <c r="E381" s="538"/>
      <c r="F381" s="532"/>
      <c r="G381" s="532"/>
      <c r="H381" s="532"/>
      <c r="I381" s="342"/>
      <c r="J381" s="342"/>
      <c r="K381" s="342"/>
      <c r="L381" s="342"/>
    </row>
    <row r="382" spans="1:12" ht="24" customHeight="1" x14ac:dyDescent="0.2">
      <c r="A382" s="532"/>
      <c r="B382" s="532"/>
      <c r="C382" s="532"/>
      <c r="D382" s="537"/>
      <c r="E382" s="538"/>
      <c r="F382" s="532"/>
      <c r="G382" s="532"/>
      <c r="H382" s="532"/>
      <c r="I382" s="342"/>
      <c r="J382" s="342"/>
      <c r="K382" s="342"/>
      <c r="L382" s="342"/>
    </row>
    <row r="383" spans="1:12" ht="24" customHeight="1" x14ac:dyDescent="0.2">
      <c r="A383" s="532"/>
      <c r="B383" s="532"/>
      <c r="C383" s="532"/>
      <c r="D383" s="537"/>
      <c r="E383" s="538"/>
      <c r="F383" s="532"/>
      <c r="G383" s="532"/>
      <c r="H383" s="532"/>
      <c r="I383" s="342"/>
      <c r="J383" s="342"/>
      <c r="K383" s="342"/>
      <c r="L383" s="342"/>
    </row>
    <row r="384" spans="1:12" ht="24" customHeight="1" x14ac:dyDescent="0.2">
      <c r="A384" s="2454"/>
      <c r="B384" s="2454"/>
      <c r="C384" s="2454"/>
      <c r="D384" s="2454"/>
      <c r="E384" s="2454"/>
      <c r="F384" s="532"/>
      <c r="G384" s="532"/>
      <c r="H384" s="532"/>
      <c r="I384" s="342"/>
      <c r="J384" s="342"/>
      <c r="K384" s="342"/>
      <c r="L384" s="342"/>
    </row>
    <row r="385" spans="1:12" ht="24" customHeight="1" x14ac:dyDescent="0.2">
      <c r="A385" s="532"/>
      <c r="B385" s="532"/>
      <c r="C385" s="532"/>
      <c r="D385" s="537"/>
      <c r="E385" s="538"/>
      <c r="F385" s="532"/>
      <c r="G385" s="532"/>
      <c r="H385" s="532"/>
      <c r="I385" s="342"/>
      <c r="J385" s="342"/>
      <c r="K385" s="342"/>
      <c r="L385" s="342"/>
    </row>
    <row r="386" spans="1:12" ht="24" customHeight="1" x14ac:dyDescent="0.2">
      <c r="A386" s="532"/>
      <c r="B386" s="532"/>
      <c r="C386" s="532"/>
      <c r="D386" s="537"/>
      <c r="E386" s="538"/>
      <c r="F386" s="532"/>
      <c r="G386" s="532"/>
      <c r="H386" s="532"/>
      <c r="I386" s="342"/>
      <c r="J386" s="342"/>
      <c r="K386" s="342"/>
      <c r="L386" s="342"/>
    </row>
    <row r="387" spans="1:12" ht="24" customHeight="1" x14ac:dyDescent="0.2">
      <c r="A387" s="532"/>
      <c r="B387" s="532"/>
      <c r="C387" s="532"/>
      <c r="D387" s="537"/>
      <c r="E387" s="538"/>
      <c r="F387" s="532"/>
      <c r="G387" s="532"/>
      <c r="H387" s="532"/>
      <c r="I387" s="342"/>
      <c r="J387" s="342"/>
      <c r="K387" s="342"/>
      <c r="L387" s="342"/>
    </row>
    <row r="388" spans="1:12" ht="24" customHeight="1" x14ac:dyDescent="0.2">
      <c r="A388" s="2454"/>
      <c r="B388" s="2454"/>
      <c r="C388" s="2454"/>
      <c r="D388" s="2454"/>
      <c r="E388" s="2454"/>
      <c r="F388" s="532"/>
      <c r="G388" s="532"/>
      <c r="H388" s="532"/>
      <c r="I388" s="342"/>
      <c r="J388" s="342"/>
      <c r="K388" s="342"/>
      <c r="L388" s="342"/>
    </row>
    <row r="389" spans="1:12" ht="24" customHeight="1" x14ac:dyDescent="0.2">
      <c r="A389" s="532"/>
      <c r="B389" s="532"/>
      <c r="C389" s="532"/>
      <c r="D389" s="537"/>
      <c r="E389" s="538"/>
      <c r="F389" s="532"/>
      <c r="G389" s="532"/>
      <c r="H389" s="532"/>
      <c r="I389" s="342"/>
      <c r="J389" s="342"/>
      <c r="K389" s="342"/>
      <c r="L389" s="342"/>
    </row>
    <row r="390" spans="1:12" ht="24" customHeight="1" x14ac:dyDescent="0.2">
      <c r="A390" s="532"/>
      <c r="B390" s="532"/>
      <c r="C390" s="532"/>
      <c r="D390" s="537"/>
      <c r="E390" s="538"/>
      <c r="F390" s="532"/>
      <c r="G390" s="532"/>
      <c r="H390" s="532"/>
      <c r="I390" s="342"/>
      <c r="J390" s="342"/>
      <c r="K390" s="342"/>
      <c r="L390" s="342"/>
    </row>
    <row r="391" spans="1:12" ht="24" customHeight="1" x14ac:dyDescent="0.2">
      <c r="A391" s="2454"/>
      <c r="B391" s="2454"/>
      <c r="C391" s="2454"/>
      <c r="D391" s="2454"/>
      <c r="E391" s="2454"/>
      <c r="F391" s="532"/>
      <c r="G391" s="532"/>
      <c r="H391" s="532"/>
      <c r="I391" s="342"/>
      <c r="J391" s="342"/>
      <c r="K391" s="342"/>
      <c r="L391" s="342"/>
    </row>
    <row r="392" spans="1:12" ht="24" customHeight="1" x14ac:dyDescent="0.2">
      <c r="A392" s="532"/>
      <c r="B392" s="532"/>
      <c r="C392" s="532"/>
      <c r="D392" s="537"/>
      <c r="E392" s="538"/>
      <c r="F392" s="532"/>
      <c r="G392" s="532"/>
      <c r="H392" s="532"/>
      <c r="I392" s="342"/>
      <c r="J392" s="342"/>
      <c r="K392" s="342"/>
      <c r="L392" s="342"/>
    </row>
    <row r="393" spans="1:12" ht="24" customHeight="1" x14ac:dyDescent="0.2">
      <c r="A393" s="532"/>
      <c r="B393" s="532"/>
      <c r="C393" s="532"/>
      <c r="D393" s="537"/>
      <c r="E393" s="538"/>
      <c r="F393" s="532"/>
      <c r="G393" s="532"/>
      <c r="H393" s="532"/>
      <c r="I393" s="342"/>
      <c r="J393" s="342"/>
      <c r="K393" s="342"/>
      <c r="L393" s="342"/>
    </row>
    <row r="394" spans="1:12" ht="24" customHeight="1" x14ac:dyDescent="0.2">
      <c r="A394" s="2454"/>
      <c r="B394" s="2454"/>
      <c r="C394" s="2454"/>
      <c r="D394" s="2454"/>
      <c r="E394" s="2454"/>
      <c r="F394" s="532"/>
      <c r="G394" s="532"/>
      <c r="H394" s="532"/>
      <c r="I394" s="342"/>
      <c r="J394" s="342"/>
      <c r="K394" s="342"/>
      <c r="L394" s="342"/>
    </row>
    <row r="395" spans="1:12" ht="24" customHeight="1" x14ac:dyDescent="0.2">
      <c r="A395" s="532"/>
      <c r="B395" s="532"/>
      <c r="C395" s="532"/>
      <c r="D395" s="537"/>
      <c r="E395" s="538"/>
      <c r="F395" s="532"/>
      <c r="G395" s="532"/>
      <c r="H395" s="532"/>
      <c r="I395" s="342"/>
      <c r="J395" s="342"/>
      <c r="K395" s="342"/>
      <c r="L395" s="342"/>
    </row>
    <row r="396" spans="1:12" ht="24" customHeight="1" x14ac:dyDescent="0.2">
      <c r="A396" s="532"/>
      <c r="B396" s="532"/>
      <c r="C396" s="532"/>
      <c r="D396" s="537"/>
      <c r="E396" s="538"/>
      <c r="F396" s="532"/>
      <c r="G396" s="532"/>
      <c r="H396" s="532"/>
      <c r="I396" s="342"/>
      <c r="J396" s="342"/>
      <c r="K396" s="342"/>
      <c r="L396" s="342"/>
    </row>
    <row r="397" spans="1:12" ht="24" customHeight="1" x14ac:dyDescent="0.2">
      <c r="A397" s="2454"/>
      <c r="B397" s="2454"/>
      <c r="C397" s="2454"/>
      <c r="D397" s="2454"/>
      <c r="E397" s="2454"/>
      <c r="F397" s="532"/>
      <c r="G397" s="532"/>
      <c r="H397" s="532"/>
      <c r="I397" s="342"/>
      <c r="J397" s="342"/>
      <c r="K397" s="342"/>
      <c r="L397" s="342"/>
    </row>
    <row r="398" spans="1:12" ht="24" customHeight="1" x14ac:dyDescent="0.2">
      <c r="A398" s="532"/>
      <c r="B398" s="532"/>
      <c r="C398" s="532"/>
      <c r="D398" s="537"/>
      <c r="E398" s="538"/>
      <c r="F398" s="532"/>
      <c r="G398" s="532"/>
      <c r="H398" s="532"/>
      <c r="I398" s="342"/>
      <c r="J398" s="342"/>
      <c r="K398" s="342"/>
      <c r="L398" s="342"/>
    </row>
    <row r="399" spans="1:12" ht="24" customHeight="1" x14ac:dyDescent="0.2">
      <c r="A399" s="532"/>
      <c r="B399" s="532"/>
      <c r="C399" s="532"/>
      <c r="D399" s="537"/>
      <c r="E399" s="538"/>
      <c r="F399" s="532"/>
      <c r="G399" s="532"/>
      <c r="H399" s="532"/>
      <c r="I399" s="342"/>
      <c r="J399" s="342"/>
      <c r="K399" s="342"/>
      <c r="L399" s="342"/>
    </row>
    <row r="400" spans="1:12" ht="24" customHeight="1" x14ac:dyDescent="0.2">
      <c r="A400" s="532"/>
      <c r="B400" s="532"/>
      <c r="C400" s="532"/>
      <c r="D400" s="537"/>
      <c r="E400" s="538"/>
      <c r="F400" s="532"/>
      <c r="G400" s="532"/>
      <c r="H400" s="532"/>
      <c r="I400" s="342"/>
      <c r="J400" s="342"/>
      <c r="K400" s="342"/>
      <c r="L400" s="342"/>
    </row>
    <row r="401" spans="1:12" ht="24" customHeight="1" x14ac:dyDescent="0.2">
      <c r="A401" s="2454"/>
      <c r="B401" s="2454"/>
      <c r="C401" s="2454"/>
      <c r="D401" s="2454"/>
      <c r="E401" s="2454"/>
      <c r="F401" s="532"/>
      <c r="G401" s="532"/>
      <c r="H401" s="532"/>
      <c r="I401" s="342"/>
      <c r="J401" s="342"/>
      <c r="K401" s="342"/>
      <c r="L401" s="342"/>
    </row>
    <row r="402" spans="1:12" ht="24" customHeight="1" x14ac:dyDescent="0.2">
      <c r="A402" s="532"/>
      <c r="B402" s="532"/>
      <c r="C402" s="532"/>
      <c r="D402" s="537"/>
      <c r="E402" s="538"/>
      <c r="F402" s="532"/>
      <c r="G402" s="532"/>
      <c r="H402" s="532"/>
      <c r="I402" s="342"/>
      <c r="J402" s="342"/>
      <c r="K402" s="342"/>
      <c r="L402" s="342"/>
    </row>
    <row r="403" spans="1:12" ht="24" customHeight="1" x14ac:dyDescent="0.2">
      <c r="A403" s="532"/>
      <c r="B403" s="532"/>
      <c r="C403" s="532"/>
      <c r="D403" s="537"/>
      <c r="E403" s="538"/>
      <c r="F403" s="532"/>
      <c r="G403" s="532"/>
      <c r="H403" s="532"/>
      <c r="I403" s="342"/>
      <c r="J403" s="342"/>
      <c r="K403" s="342"/>
      <c r="L403" s="342"/>
    </row>
    <row r="404" spans="1:12" ht="24" customHeight="1" x14ac:dyDescent="0.2">
      <c r="A404" s="532"/>
      <c r="B404" s="532"/>
      <c r="C404" s="532"/>
      <c r="D404" s="537"/>
      <c r="E404" s="538"/>
      <c r="F404" s="532"/>
      <c r="G404" s="532"/>
      <c r="H404" s="532"/>
      <c r="I404" s="342"/>
      <c r="J404" s="342"/>
      <c r="K404" s="342"/>
      <c r="L404" s="342"/>
    </row>
    <row r="405" spans="1:12" ht="24" customHeight="1" x14ac:dyDescent="0.2">
      <c r="A405" s="2454"/>
      <c r="B405" s="2454"/>
      <c r="C405" s="2454"/>
      <c r="D405" s="2454"/>
      <c r="E405" s="2454"/>
      <c r="F405" s="532"/>
      <c r="G405" s="532"/>
      <c r="H405" s="532"/>
      <c r="I405" s="342"/>
      <c r="J405" s="342"/>
      <c r="K405" s="342"/>
      <c r="L405" s="342"/>
    </row>
    <row r="406" spans="1:12" ht="24" customHeight="1" x14ac:dyDescent="0.2">
      <c r="A406" s="532"/>
      <c r="B406" s="532"/>
      <c r="C406" s="532"/>
      <c r="D406" s="537"/>
      <c r="E406" s="538"/>
      <c r="F406" s="532"/>
      <c r="G406" s="532"/>
      <c r="H406" s="532"/>
      <c r="I406" s="342"/>
      <c r="J406" s="342"/>
      <c r="K406" s="342"/>
      <c r="L406" s="342"/>
    </row>
    <row r="407" spans="1:12" ht="24" customHeight="1" x14ac:dyDescent="0.2">
      <c r="A407" s="532"/>
      <c r="B407" s="532"/>
      <c r="C407" s="532"/>
      <c r="D407" s="537"/>
      <c r="E407" s="538"/>
      <c r="F407" s="532"/>
      <c r="G407" s="532"/>
      <c r="H407" s="532"/>
      <c r="I407" s="342"/>
      <c r="J407" s="342"/>
      <c r="K407" s="342"/>
      <c r="L407" s="342"/>
    </row>
    <row r="408" spans="1:12" ht="24" customHeight="1" x14ac:dyDescent="0.2">
      <c r="A408" s="532"/>
      <c r="B408" s="532"/>
      <c r="C408" s="532"/>
      <c r="D408" s="537"/>
      <c r="E408" s="538"/>
      <c r="F408" s="532"/>
      <c r="G408" s="532"/>
      <c r="H408" s="532"/>
      <c r="I408" s="342"/>
      <c r="J408" s="342"/>
      <c r="K408" s="342"/>
      <c r="L408" s="342"/>
    </row>
    <row r="409" spans="1:12" ht="24" customHeight="1" x14ac:dyDescent="0.2">
      <c r="A409" s="2454"/>
      <c r="B409" s="2454"/>
      <c r="C409" s="2454"/>
      <c r="D409" s="2454"/>
      <c r="E409" s="2454"/>
      <c r="F409" s="532"/>
      <c r="G409" s="532"/>
      <c r="H409" s="532"/>
      <c r="I409" s="342"/>
      <c r="J409" s="342"/>
      <c r="K409" s="342"/>
      <c r="L409" s="342"/>
    </row>
    <row r="410" spans="1:12" ht="24" customHeight="1" x14ac:dyDescent="0.2">
      <c r="A410" s="532"/>
      <c r="B410" s="532"/>
      <c r="C410" s="532"/>
      <c r="D410" s="537"/>
      <c r="E410" s="538"/>
      <c r="F410" s="532"/>
      <c r="G410" s="532"/>
      <c r="H410" s="532"/>
      <c r="I410" s="342"/>
      <c r="J410" s="342"/>
      <c r="K410" s="342"/>
      <c r="L410" s="342"/>
    </row>
    <row r="411" spans="1:12" ht="24" customHeight="1" x14ac:dyDescent="0.2">
      <c r="A411" s="532"/>
      <c r="B411" s="532"/>
      <c r="C411" s="532"/>
      <c r="D411" s="537"/>
      <c r="E411" s="538"/>
      <c r="F411" s="532"/>
      <c r="G411" s="532"/>
      <c r="H411" s="532"/>
      <c r="I411" s="342"/>
      <c r="J411" s="342"/>
      <c r="K411" s="342"/>
      <c r="L411" s="342"/>
    </row>
    <row r="412" spans="1:12" ht="24" customHeight="1" x14ac:dyDescent="0.2">
      <c r="A412" s="532"/>
      <c r="B412" s="532"/>
      <c r="C412" s="532"/>
      <c r="D412" s="537"/>
      <c r="E412" s="538"/>
      <c r="F412" s="532"/>
      <c r="G412" s="532"/>
      <c r="H412" s="532"/>
      <c r="I412" s="342"/>
      <c r="J412" s="342"/>
      <c r="K412" s="342"/>
      <c r="L412" s="342"/>
    </row>
    <row r="413" spans="1:12" ht="24" customHeight="1" x14ac:dyDescent="0.2">
      <c r="A413" s="2454"/>
      <c r="B413" s="2454"/>
      <c r="C413" s="2454"/>
      <c r="D413" s="2454"/>
      <c r="E413" s="2454"/>
      <c r="F413" s="532"/>
      <c r="G413" s="532"/>
      <c r="H413" s="532"/>
      <c r="I413" s="342"/>
      <c r="J413" s="342"/>
      <c r="K413" s="342"/>
      <c r="L413" s="342"/>
    </row>
    <row r="414" spans="1:12" ht="24" customHeight="1" x14ac:dyDescent="0.2">
      <c r="A414" s="532"/>
      <c r="B414" s="532"/>
      <c r="C414" s="532"/>
      <c r="D414" s="537"/>
      <c r="E414" s="538"/>
      <c r="F414" s="532"/>
      <c r="G414" s="532"/>
      <c r="H414" s="532"/>
      <c r="I414" s="342"/>
      <c r="J414" s="342"/>
      <c r="K414" s="342"/>
      <c r="L414" s="342"/>
    </row>
    <row r="415" spans="1:12" ht="24" customHeight="1" x14ac:dyDescent="0.2">
      <c r="A415" s="532"/>
      <c r="B415" s="532"/>
      <c r="C415" s="532"/>
      <c r="D415" s="537"/>
      <c r="E415" s="538"/>
      <c r="F415" s="532"/>
      <c r="G415" s="532"/>
      <c r="H415" s="532"/>
      <c r="I415" s="342"/>
      <c r="J415" s="342"/>
      <c r="K415" s="342"/>
      <c r="L415" s="342"/>
    </row>
    <row r="416" spans="1:12" ht="24" customHeight="1" x14ac:dyDescent="0.2">
      <c r="A416" s="532"/>
      <c r="B416" s="532"/>
      <c r="C416" s="532"/>
      <c r="D416" s="537"/>
      <c r="E416" s="538"/>
      <c r="F416" s="532"/>
      <c r="G416" s="532"/>
      <c r="H416" s="532"/>
      <c r="I416" s="342"/>
      <c r="J416" s="342"/>
      <c r="K416" s="342"/>
      <c r="L416" s="342"/>
    </row>
    <row r="417" spans="1:12" ht="24" customHeight="1" x14ac:dyDescent="0.2">
      <c r="A417" s="532"/>
      <c r="B417" s="532"/>
      <c r="C417" s="532"/>
      <c r="D417" s="537"/>
      <c r="E417" s="538"/>
      <c r="F417" s="532"/>
      <c r="G417" s="532"/>
      <c r="H417" s="532"/>
      <c r="I417" s="342"/>
      <c r="J417" s="342"/>
      <c r="K417" s="342"/>
      <c r="L417" s="342"/>
    </row>
    <row r="418" spans="1:12" ht="24" customHeight="1" x14ac:dyDescent="0.2">
      <c r="A418" s="2454"/>
      <c r="B418" s="2454"/>
      <c r="C418" s="2454"/>
      <c r="D418" s="2454"/>
      <c r="E418" s="2454"/>
      <c r="F418" s="532"/>
      <c r="G418" s="532"/>
      <c r="H418" s="532"/>
      <c r="I418" s="342"/>
      <c r="J418" s="342"/>
      <c r="K418" s="342"/>
      <c r="L418" s="342"/>
    </row>
    <row r="419" spans="1:12" ht="24" customHeight="1" x14ac:dyDescent="0.2">
      <c r="A419" s="532"/>
      <c r="B419" s="532"/>
      <c r="C419" s="532"/>
      <c r="D419" s="537"/>
      <c r="E419" s="538"/>
      <c r="F419" s="532"/>
      <c r="G419" s="532"/>
      <c r="H419" s="532"/>
      <c r="I419" s="342"/>
      <c r="J419" s="342"/>
      <c r="K419" s="342"/>
      <c r="L419" s="342"/>
    </row>
    <row r="420" spans="1:12" ht="24" customHeight="1" x14ac:dyDescent="0.2">
      <c r="A420" s="532"/>
      <c r="B420" s="532"/>
      <c r="C420" s="532"/>
      <c r="D420" s="537"/>
      <c r="E420" s="538"/>
      <c r="F420" s="532"/>
      <c r="G420" s="532"/>
      <c r="H420" s="532"/>
      <c r="I420" s="342"/>
      <c r="J420" s="342"/>
      <c r="K420" s="342"/>
      <c r="L420" s="342"/>
    </row>
    <row r="421" spans="1:12" ht="24" customHeight="1" x14ac:dyDescent="0.2">
      <c r="A421" s="2454"/>
      <c r="B421" s="2454"/>
      <c r="C421" s="2454"/>
      <c r="D421" s="2454"/>
      <c r="E421" s="2454"/>
      <c r="F421" s="532"/>
      <c r="G421" s="532"/>
      <c r="H421" s="532"/>
      <c r="I421" s="342"/>
      <c r="J421" s="342"/>
      <c r="K421" s="342"/>
      <c r="L421" s="342"/>
    </row>
    <row r="422" spans="1:12" ht="24" customHeight="1" x14ac:dyDescent="0.2">
      <c r="A422" s="532"/>
      <c r="B422" s="532"/>
      <c r="C422" s="532"/>
      <c r="D422" s="537"/>
      <c r="E422" s="538"/>
      <c r="F422" s="532"/>
      <c r="G422" s="532"/>
      <c r="H422" s="532"/>
      <c r="I422" s="342"/>
      <c r="J422" s="342"/>
      <c r="K422" s="342"/>
      <c r="L422" s="342"/>
    </row>
    <row r="423" spans="1:12" ht="24" customHeight="1" x14ac:dyDescent="0.2">
      <c r="A423" s="532"/>
      <c r="B423" s="532"/>
      <c r="C423" s="532"/>
      <c r="D423" s="537"/>
      <c r="E423" s="538"/>
      <c r="F423" s="532"/>
      <c r="G423" s="532"/>
      <c r="H423" s="532"/>
      <c r="I423" s="342"/>
      <c r="J423" s="342"/>
      <c r="K423" s="342"/>
      <c r="L423" s="342"/>
    </row>
    <row r="424" spans="1:12" ht="24" customHeight="1" x14ac:dyDescent="0.2">
      <c r="A424" s="532"/>
      <c r="B424" s="532"/>
      <c r="C424" s="532"/>
      <c r="D424" s="537"/>
      <c r="E424" s="538"/>
      <c r="F424" s="532"/>
      <c r="G424" s="532"/>
      <c r="H424" s="532"/>
      <c r="I424" s="342"/>
      <c r="J424" s="342"/>
      <c r="K424" s="342"/>
      <c r="L424" s="342"/>
    </row>
    <row r="425" spans="1:12" ht="24" customHeight="1" x14ac:dyDescent="0.2">
      <c r="A425" s="2454"/>
      <c r="B425" s="2454"/>
      <c r="C425" s="2454"/>
      <c r="D425" s="2454"/>
      <c r="E425" s="2454"/>
      <c r="F425" s="532"/>
      <c r="G425" s="532"/>
      <c r="H425" s="532"/>
      <c r="I425" s="342"/>
      <c r="J425" s="342"/>
      <c r="K425" s="342"/>
      <c r="L425" s="342"/>
    </row>
    <row r="426" spans="1:12" ht="24" customHeight="1" x14ac:dyDescent="0.2">
      <c r="A426" s="532"/>
      <c r="B426" s="532"/>
      <c r="C426" s="532"/>
      <c r="D426" s="537"/>
      <c r="E426" s="538"/>
      <c r="F426" s="532"/>
      <c r="G426" s="532"/>
      <c r="H426" s="532"/>
      <c r="I426" s="342"/>
      <c r="J426" s="342"/>
      <c r="K426" s="342"/>
      <c r="L426" s="342"/>
    </row>
    <row r="427" spans="1:12" ht="24" customHeight="1" x14ac:dyDescent="0.2">
      <c r="A427" s="532"/>
      <c r="B427" s="532"/>
      <c r="C427" s="532"/>
      <c r="D427" s="537"/>
      <c r="E427" s="538"/>
      <c r="F427" s="532"/>
      <c r="G427" s="532"/>
      <c r="H427" s="532"/>
      <c r="I427" s="342"/>
      <c r="J427" s="342"/>
      <c r="K427" s="342"/>
      <c r="L427" s="342"/>
    </row>
    <row r="428" spans="1:12" ht="24" customHeight="1" x14ac:dyDescent="0.2">
      <c r="A428" s="532"/>
      <c r="B428" s="532"/>
      <c r="C428" s="532"/>
      <c r="D428" s="537"/>
      <c r="E428" s="538"/>
      <c r="F428" s="532"/>
      <c r="G428" s="532"/>
      <c r="H428" s="532"/>
      <c r="I428" s="342"/>
      <c r="J428" s="342"/>
      <c r="K428" s="342"/>
      <c r="L428" s="342"/>
    </row>
    <row r="429" spans="1:12" ht="24" customHeight="1" x14ac:dyDescent="0.2">
      <c r="A429" s="2454"/>
      <c r="B429" s="2454"/>
      <c r="C429" s="2454"/>
      <c r="D429" s="2454"/>
      <c r="E429" s="2454"/>
      <c r="F429" s="532"/>
      <c r="G429" s="532"/>
      <c r="H429" s="532"/>
      <c r="I429" s="342"/>
      <c r="J429" s="342"/>
      <c r="K429" s="342"/>
      <c r="L429" s="342"/>
    </row>
    <row r="430" spans="1:12" ht="24" customHeight="1" x14ac:dyDescent="0.2">
      <c r="A430" s="532"/>
      <c r="B430" s="532"/>
      <c r="C430" s="532"/>
      <c r="D430" s="537"/>
      <c r="E430" s="538"/>
      <c r="F430" s="532"/>
      <c r="G430" s="532"/>
      <c r="H430" s="532"/>
      <c r="I430" s="342"/>
      <c r="J430" s="342"/>
      <c r="K430" s="342"/>
      <c r="L430" s="342"/>
    </row>
    <row r="431" spans="1:12" ht="24" customHeight="1" x14ac:dyDescent="0.2">
      <c r="A431" s="532"/>
      <c r="B431" s="532"/>
      <c r="C431" s="532"/>
      <c r="D431" s="537"/>
      <c r="E431" s="538"/>
      <c r="F431" s="532"/>
      <c r="G431" s="532"/>
      <c r="H431" s="532"/>
      <c r="I431" s="342"/>
      <c r="J431" s="342"/>
      <c r="K431" s="342"/>
      <c r="L431" s="342"/>
    </row>
    <row r="432" spans="1:12" ht="24" customHeight="1" x14ac:dyDescent="0.2">
      <c r="A432" s="532"/>
      <c r="B432" s="532"/>
      <c r="C432" s="532"/>
      <c r="D432" s="537"/>
      <c r="E432" s="538"/>
      <c r="F432" s="532"/>
      <c r="G432" s="532"/>
      <c r="H432" s="532"/>
      <c r="I432" s="342"/>
      <c r="J432" s="342"/>
      <c r="K432" s="342"/>
      <c r="L432" s="342"/>
    </row>
    <row r="433" spans="1:12" ht="24" customHeight="1" x14ac:dyDescent="0.2">
      <c r="A433" s="532"/>
      <c r="B433" s="532"/>
      <c r="C433" s="532"/>
      <c r="D433" s="537"/>
      <c r="E433" s="538"/>
      <c r="F433" s="532"/>
      <c r="G433" s="532"/>
      <c r="H433" s="532"/>
      <c r="I433" s="342"/>
      <c r="J433" s="342"/>
      <c r="K433" s="342"/>
      <c r="L433" s="342"/>
    </row>
    <row r="434" spans="1:12" ht="24" customHeight="1" x14ac:dyDescent="0.2">
      <c r="A434" s="532"/>
      <c r="B434" s="532"/>
      <c r="C434" s="532"/>
      <c r="D434" s="537"/>
      <c r="E434" s="538"/>
      <c r="F434" s="532"/>
      <c r="G434" s="532"/>
      <c r="H434" s="532"/>
      <c r="I434" s="342"/>
      <c r="J434" s="342"/>
      <c r="K434" s="342"/>
      <c r="L434" s="342"/>
    </row>
    <row r="435" spans="1:12" ht="24" customHeight="1" x14ac:dyDescent="0.2">
      <c r="A435" s="532"/>
      <c r="B435" s="532"/>
      <c r="C435" s="532"/>
      <c r="D435" s="537"/>
      <c r="E435" s="538"/>
      <c r="F435" s="532"/>
      <c r="G435" s="532"/>
      <c r="H435" s="532"/>
      <c r="I435" s="342"/>
      <c r="J435" s="342"/>
      <c r="K435" s="342"/>
      <c r="L435" s="342"/>
    </row>
    <row r="436" spans="1:12" ht="24" customHeight="1" x14ac:dyDescent="0.2">
      <c r="A436" s="532"/>
      <c r="B436" s="532"/>
      <c r="C436" s="532"/>
      <c r="D436" s="537"/>
      <c r="E436" s="538"/>
      <c r="F436" s="532"/>
      <c r="G436" s="532"/>
      <c r="H436" s="532"/>
      <c r="I436" s="342"/>
      <c r="J436" s="342"/>
      <c r="K436" s="342"/>
      <c r="L436" s="342"/>
    </row>
    <row r="437" spans="1:12" ht="24" customHeight="1" x14ac:dyDescent="0.2">
      <c r="A437" s="532"/>
      <c r="B437" s="532"/>
      <c r="C437" s="532"/>
      <c r="D437" s="537"/>
      <c r="E437" s="538"/>
      <c r="F437" s="532"/>
      <c r="G437" s="532"/>
      <c r="H437" s="532"/>
      <c r="I437" s="342"/>
      <c r="J437" s="342"/>
      <c r="K437" s="342"/>
      <c r="L437" s="342"/>
    </row>
    <row r="438" spans="1:12" ht="24" customHeight="1" x14ac:dyDescent="0.2">
      <c r="A438" s="532"/>
      <c r="B438" s="532"/>
      <c r="C438" s="532"/>
      <c r="D438" s="537"/>
      <c r="E438" s="538"/>
      <c r="F438" s="532"/>
      <c r="G438" s="532"/>
      <c r="H438" s="532"/>
      <c r="I438" s="342"/>
      <c r="J438" s="342"/>
      <c r="K438" s="342"/>
      <c r="L438" s="342"/>
    </row>
    <row r="439" spans="1:12" ht="24" customHeight="1" x14ac:dyDescent="0.2">
      <c r="A439" s="532"/>
      <c r="B439" s="532"/>
      <c r="C439" s="532"/>
      <c r="D439" s="537"/>
      <c r="E439" s="538"/>
      <c r="F439" s="532"/>
      <c r="G439" s="532"/>
      <c r="H439" s="532"/>
      <c r="I439" s="342"/>
      <c r="J439" s="342"/>
      <c r="K439" s="342"/>
      <c r="L439" s="342"/>
    </row>
    <row r="440" spans="1:12" ht="24" customHeight="1" x14ac:dyDescent="0.2">
      <c r="A440" s="532"/>
      <c r="B440" s="532"/>
      <c r="C440" s="532"/>
      <c r="D440" s="537"/>
      <c r="E440" s="538"/>
      <c r="F440" s="532"/>
      <c r="G440" s="532"/>
      <c r="H440" s="532"/>
      <c r="I440" s="342"/>
      <c r="J440" s="342"/>
      <c r="K440" s="342"/>
      <c r="L440" s="342"/>
    </row>
    <row r="441" spans="1:12" ht="24" customHeight="1" x14ac:dyDescent="0.2">
      <c r="A441" s="532"/>
      <c r="B441" s="532"/>
      <c r="C441" s="532"/>
      <c r="D441" s="537"/>
      <c r="E441" s="538"/>
      <c r="F441" s="532"/>
      <c r="G441" s="532"/>
      <c r="H441" s="532"/>
      <c r="I441" s="342"/>
      <c r="J441" s="342"/>
      <c r="K441" s="342"/>
      <c r="L441" s="342"/>
    </row>
    <row r="442" spans="1:12" ht="24" customHeight="1" x14ac:dyDescent="0.2">
      <c r="A442" s="532"/>
      <c r="B442" s="532"/>
      <c r="C442" s="532"/>
      <c r="D442" s="537"/>
      <c r="E442" s="538"/>
      <c r="F442" s="532"/>
      <c r="G442" s="532"/>
      <c r="H442" s="532"/>
      <c r="I442" s="342"/>
      <c r="J442" s="342"/>
      <c r="K442" s="342"/>
      <c r="L442" s="342"/>
    </row>
    <row r="443" spans="1:12" ht="24" customHeight="1" x14ac:dyDescent="0.2">
      <c r="A443" s="532"/>
      <c r="B443" s="532"/>
      <c r="C443" s="532"/>
      <c r="D443" s="537"/>
      <c r="E443" s="538"/>
      <c r="F443" s="532"/>
      <c r="G443" s="532"/>
      <c r="H443" s="532"/>
      <c r="I443" s="342"/>
      <c r="J443" s="342"/>
      <c r="K443" s="342"/>
      <c r="L443" s="342"/>
    </row>
    <row r="444" spans="1:12" ht="24" customHeight="1" x14ac:dyDescent="0.2">
      <c r="A444" s="532"/>
      <c r="B444" s="532"/>
      <c r="C444" s="532"/>
      <c r="D444" s="537"/>
      <c r="E444" s="538"/>
      <c r="F444" s="532"/>
      <c r="G444" s="532"/>
      <c r="H444" s="532"/>
      <c r="I444" s="342"/>
      <c r="J444" s="342"/>
      <c r="K444" s="342"/>
      <c r="L444" s="342"/>
    </row>
    <row r="445" spans="1:12" ht="24" customHeight="1" x14ac:dyDescent="0.2">
      <c r="A445" s="532"/>
      <c r="B445" s="532"/>
      <c r="C445" s="532"/>
      <c r="D445" s="537"/>
      <c r="E445" s="538"/>
      <c r="F445" s="532"/>
      <c r="G445" s="532"/>
      <c r="H445" s="532"/>
      <c r="I445" s="342"/>
      <c r="J445" s="342"/>
      <c r="K445" s="342"/>
      <c r="L445" s="342"/>
    </row>
    <row r="446" spans="1:12" ht="24" customHeight="1" x14ac:dyDescent="0.2">
      <c r="A446" s="532"/>
      <c r="B446" s="532"/>
      <c r="C446" s="532"/>
      <c r="D446" s="537"/>
      <c r="E446" s="538"/>
      <c r="F446" s="532"/>
      <c r="G446" s="532"/>
      <c r="H446" s="532"/>
      <c r="I446" s="342"/>
      <c r="J446" s="342"/>
      <c r="K446" s="342"/>
      <c r="L446" s="342"/>
    </row>
    <row r="447" spans="1:12" ht="24" customHeight="1" x14ac:dyDescent="0.2">
      <c r="A447" s="532"/>
      <c r="B447" s="532"/>
      <c r="C447" s="532"/>
      <c r="D447" s="537"/>
      <c r="E447" s="538"/>
      <c r="F447" s="532"/>
      <c r="G447" s="532"/>
      <c r="H447" s="532"/>
      <c r="I447" s="342"/>
      <c r="J447" s="342"/>
      <c r="K447" s="342"/>
      <c r="L447" s="342"/>
    </row>
    <row r="448" spans="1:12" ht="24" customHeight="1" x14ac:dyDescent="0.2">
      <c r="A448" s="532"/>
      <c r="B448" s="532"/>
      <c r="C448" s="532"/>
      <c r="D448" s="537"/>
      <c r="E448" s="538"/>
      <c r="F448" s="532"/>
      <c r="G448" s="532"/>
      <c r="H448" s="532"/>
      <c r="I448" s="342"/>
      <c r="J448" s="342"/>
      <c r="K448" s="342"/>
      <c r="L448" s="342"/>
    </row>
    <row r="449" spans="1:12" ht="24" customHeight="1" x14ac:dyDescent="0.2">
      <c r="A449" s="532"/>
      <c r="B449" s="532"/>
      <c r="C449" s="532"/>
      <c r="D449" s="537"/>
      <c r="E449" s="538"/>
      <c r="F449" s="532"/>
      <c r="G449" s="532"/>
      <c r="H449" s="532"/>
      <c r="I449" s="342"/>
      <c r="J449" s="342"/>
      <c r="K449" s="342"/>
      <c r="L449" s="342"/>
    </row>
    <row r="450" spans="1:12" ht="24" customHeight="1" x14ac:dyDescent="0.2">
      <c r="A450" s="532"/>
      <c r="B450" s="532"/>
      <c r="C450" s="532"/>
      <c r="D450" s="537"/>
      <c r="E450" s="538"/>
      <c r="F450" s="532"/>
      <c r="G450" s="532"/>
      <c r="H450" s="532"/>
      <c r="I450" s="342"/>
      <c r="J450" s="342"/>
      <c r="K450" s="342"/>
      <c r="L450" s="342"/>
    </row>
    <row r="451" spans="1:12" ht="24" customHeight="1" x14ac:dyDescent="0.2">
      <c r="A451" s="532"/>
      <c r="B451" s="532"/>
      <c r="C451" s="532"/>
      <c r="D451" s="537"/>
      <c r="E451" s="538"/>
      <c r="F451" s="532"/>
      <c r="G451" s="532"/>
      <c r="H451" s="532"/>
      <c r="I451" s="342"/>
      <c r="J451" s="342"/>
      <c r="K451" s="342"/>
      <c r="L451" s="342"/>
    </row>
    <row r="452" spans="1:12" ht="24" customHeight="1" x14ac:dyDescent="0.2">
      <c r="A452" s="532"/>
      <c r="B452" s="532"/>
      <c r="C452" s="532"/>
      <c r="D452" s="537"/>
      <c r="E452" s="538"/>
      <c r="F452" s="532"/>
      <c r="G452" s="532"/>
      <c r="H452" s="532"/>
      <c r="I452" s="342"/>
      <c r="J452" s="342"/>
      <c r="K452" s="342"/>
      <c r="L452" s="342"/>
    </row>
    <row r="453" spans="1:12" ht="24" customHeight="1" x14ac:dyDescent="0.2">
      <c r="A453" s="532"/>
      <c r="B453" s="532"/>
      <c r="C453" s="532"/>
      <c r="D453" s="537"/>
      <c r="E453" s="538"/>
      <c r="F453" s="532"/>
      <c r="G453" s="532"/>
      <c r="H453" s="532"/>
      <c r="I453" s="342"/>
      <c r="J453" s="342"/>
      <c r="K453" s="342"/>
      <c r="L453" s="342"/>
    </row>
    <row r="454" spans="1:12" ht="24" customHeight="1" x14ac:dyDescent="0.2">
      <c r="A454" s="532"/>
      <c r="B454" s="532"/>
      <c r="C454" s="532"/>
      <c r="D454" s="537"/>
      <c r="E454" s="538"/>
      <c r="F454" s="532"/>
      <c r="G454" s="532"/>
      <c r="H454" s="532"/>
      <c r="I454" s="342"/>
      <c r="J454" s="342"/>
      <c r="K454" s="342"/>
      <c r="L454" s="342"/>
    </row>
    <row r="455" spans="1:12" ht="24" customHeight="1" x14ac:dyDescent="0.2">
      <c r="A455" s="532"/>
      <c r="B455" s="532"/>
      <c r="C455" s="532"/>
      <c r="D455" s="537"/>
      <c r="E455" s="538"/>
      <c r="F455" s="532"/>
      <c r="G455" s="532"/>
      <c r="H455" s="532"/>
      <c r="I455" s="342"/>
      <c r="J455" s="342"/>
      <c r="K455" s="342"/>
      <c r="L455" s="342"/>
    </row>
    <row r="456" spans="1:12" ht="24" customHeight="1" x14ac:dyDescent="0.2">
      <c r="A456" s="532"/>
      <c r="B456" s="532"/>
      <c r="C456" s="532"/>
      <c r="D456" s="537"/>
      <c r="E456" s="538"/>
      <c r="F456" s="532"/>
      <c r="G456" s="532"/>
      <c r="H456" s="532"/>
      <c r="I456" s="342"/>
      <c r="J456" s="342"/>
      <c r="K456" s="342"/>
      <c r="L456" s="342"/>
    </row>
    <row r="457" spans="1:12" ht="24" customHeight="1" x14ac:dyDescent="0.2">
      <c r="A457" s="532"/>
      <c r="B457" s="532"/>
      <c r="C457" s="532"/>
      <c r="D457" s="537"/>
      <c r="E457" s="538"/>
      <c r="F457" s="532"/>
      <c r="G457" s="532"/>
      <c r="H457" s="532"/>
      <c r="I457" s="342"/>
      <c r="J457" s="342"/>
      <c r="K457" s="342"/>
      <c r="L457" s="342"/>
    </row>
    <row r="458" spans="1:12" ht="24" customHeight="1" x14ac:dyDescent="0.2">
      <c r="A458" s="532"/>
      <c r="B458" s="532"/>
      <c r="C458" s="532"/>
      <c r="D458" s="537"/>
      <c r="E458" s="538"/>
      <c r="F458" s="532"/>
      <c r="G458" s="532"/>
      <c r="H458" s="532"/>
      <c r="I458" s="342"/>
      <c r="J458" s="342"/>
      <c r="K458" s="342"/>
      <c r="L458" s="342"/>
    </row>
    <row r="459" spans="1:12" ht="24" customHeight="1" x14ac:dyDescent="0.2">
      <c r="A459" s="532"/>
      <c r="B459" s="532"/>
      <c r="C459" s="532"/>
      <c r="D459" s="537"/>
      <c r="E459" s="538"/>
      <c r="F459" s="532"/>
      <c r="G459" s="532"/>
      <c r="H459" s="532"/>
      <c r="I459" s="342"/>
      <c r="J459" s="342"/>
      <c r="K459" s="342"/>
      <c r="L459" s="342"/>
    </row>
    <row r="460" spans="1:12" ht="24" customHeight="1" x14ac:dyDescent="0.2">
      <c r="A460" s="532"/>
      <c r="B460" s="532"/>
      <c r="C460" s="532"/>
      <c r="D460" s="537"/>
      <c r="E460" s="538"/>
      <c r="F460" s="532"/>
      <c r="G460" s="532"/>
      <c r="H460" s="532"/>
      <c r="I460" s="342"/>
      <c r="J460" s="342"/>
      <c r="K460" s="342"/>
      <c r="L460" s="342"/>
    </row>
    <row r="461" spans="1:12" ht="24" customHeight="1" x14ac:dyDescent="0.2">
      <c r="A461" s="532"/>
      <c r="B461" s="532"/>
      <c r="C461" s="532"/>
      <c r="D461" s="537"/>
      <c r="E461" s="538"/>
      <c r="F461" s="532"/>
      <c r="G461" s="532"/>
      <c r="H461" s="532"/>
      <c r="I461" s="342"/>
      <c r="J461" s="342"/>
      <c r="K461" s="342"/>
      <c r="L461" s="342"/>
    </row>
    <row r="462" spans="1:12" ht="24" customHeight="1" x14ac:dyDescent="0.2">
      <c r="A462" s="532"/>
      <c r="B462" s="532"/>
      <c r="C462" s="532"/>
      <c r="D462" s="537"/>
      <c r="E462" s="538"/>
      <c r="F462" s="532"/>
      <c r="G462" s="532"/>
      <c r="H462" s="532"/>
      <c r="I462" s="342"/>
      <c r="J462" s="342"/>
      <c r="K462" s="342"/>
      <c r="L462" s="342"/>
    </row>
    <row r="463" spans="1:12" ht="24" customHeight="1" x14ac:dyDescent="0.2">
      <c r="A463" s="532"/>
      <c r="B463" s="532"/>
      <c r="C463" s="532"/>
      <c r="D463" s="537"/>
      <c r="E463" s="538"/>
      <c r="F463" s="532"/>
      <c r="G463" s="532"/>
      <c r="H463" s="532"/>
      <c r="I463" s="342"/>
      <c r="J463" s="342"/>
      <c r="K463" s="342"/>
      <c r="L463" s="342"/>
    </row>
    <row r="464" spans="1:12" ht="24" customHeight="1" x14ac:dyDescent="0.2">
      <c r="A464" s="532"/>
      <c r="B464" s="532"/>
      <c r="C464" s="532"/>
      <c r="D464" s="537"/>
      <c r="E464" s="538"/>
      <c r="F464" s="532"/>
      <c r="G464" s="532"/>
      <c r="H464" s="532"/>
      <c r="I464" s="342"/>
      <c r="J464" s="342"/>
      <c r="K464" s="342"/>
      <c r="L464" s="342"/>
    </row>
    <row r="465" spans="1:12" ht="24" customHeight="1" x14ac:dyDescent="0.2">
      <c r="A465" s="532"/>
      <c r="B465" s="532"/>
      <c r="C465" s="532"/>
      <c r="D465" s="537"/>
      <c r="E465" s="538"/>
      <c r="F465" s="532"/>
      <c r="G465" s="532"/>
      <c r="H465" s="532"/>
      <c r="I465" s="342"/>
      <c r="J465" s="342"/>
      <c r="K465" s="342"/>
      <c r="L465" s="342"/>
    </row>
    <row r="466" spans="1:12" ht="24" customHeight="1" x14ac:dyDescent="0.2">
      <c r="A466" s="532"/>
      <c r="B466" s="532"/>
      <c r="C466" s="532"/>
      <c r="D466" s="537"/>
      <c r="E466" s="538"/>
      <c r="F466" s="532"/>
      <c r="G466" s="532"/>
      <c r="H466" s="532"/>
      <c r="I466" s="342"/>
      <c r="J466" s="342"/>
      <c r="K466" s="342"/>
      <c r="L466" s="342"/>
    </row>
    <row r="467" spans="1:12" ht="24" customHeight="1" x14ac:dyDescent="0.2">
      <c r="A467" s="532"/>
      <c r="B467" s="532"/>
      <c r="C467" s="532"/>
      <c r="D467" s="537"/>
      <c r="E467" s="538"/>
      <c r="F467" s="532"/>
      <c r="G467" s="532"/>
      <c r="H467" s="532"/>
      <c r="I467" s="342"/>
      <c r="J467" s="342"/>
      <c r="K467" s="342"/>
      <c r="L467" s="342"/>
    </row>
    <row r="468" spans="1:12" ht="24" customHeight="1" x14ac:dyDescent="0.2">
      <c r="A468" s="532"/>
      <c r="B468" s="532"/>
      <c r="C468" s="532"/>
      <c r="D468" s="537"/>
      <c r="E468" s="538"/>
      <c r="F468" s="532"/>
      <c r="G468" s="532"/>
      <c r="H468" s="532"/>
      <c r="I468" s="342"/>
      <c r="J468" s="342"/>
      <c r="K468" s="342"/>
      <c r="L468" s="342"/>
    </row>
    <row r="469" spans="1:12" ht="24" customHeight="1" x14ac:dyDescent="0.2">
      <c r="A469" s="532"/>
      <c r="B469" s="532"/>
      <c r="C469" s="532"/>
      <c r="D469" s="537"/>
      <c r="E469" s="538"/>
      <c r="F469" s="532"/>
      <c r="G469" s="532"/>
      <c r="H469" s="532"/>
      <c r="I469" s="342"/>
      <c r="J469" s="342"/>
      <c r="K469" s="342"/>
      <c r="L469" s="342"/>
    </row>
    <row r="470" spans="1:12" ht="24" customHeight="1" x14ac:dyDescent="0.2">
      <c r="A470" s="532"/>
      <c r="B470" s="532"/>
      <c r="C470" s="532"/>
      <c r="D470" s="537"/>
      <c r="E470" s="538"/>
      <c r="F470" s="532"/>
      <c r="G470" s="532"/>
      <c r="H470" s="532"/>
      <c r="I470" s="342"/>
      <c r="J470" s="342"/>
      <c r="K470" s="342"/>
      <c r="L470" s="342"/>
    </row>
    <row r="471" spans="1:12" ht="24" customHeight="1" x14ac:dyDescent="0.2">
      <c r="A471" s="532"/>
      <c r="B471" s="532"/>
      <c r="C471" s="532"/>
      <c r="D471" s="537"/>
      <c r="E471" s="538"/>
      <c r="F471" s="532"/>
      <c r="G471" s="532"/>
      <c r="H471" s="532"/>
      <c r="I471" s="342"/>
      <c r="J471" s="342"/>
      <c r="K471" s="342"/>
      <c r="L471" s="342"/>
    </row>
    <row r="472" spans="1:12" ht="24" customHeight="1" x14ac:dyDescent="0.2">
      <c r="A472" s="532"/>
      <c r="B472" s="532"/>
      <c r="C472" s="532"/>
      <c r="D472" s="537"/>
      <c r="E472" s="538"/>
      <c r="F472" s="532"/>
      <c r="G472" s="532"/>
      <c r="H472" s="532"/>
      <c r="I472" s="342"/>
      <c r="J472" s="342"/>
      <c r="K472" s="342"/>
      <c r="L472" s="342"/>
    </row>
    <row r="473" spans="1:12" ht="24" customHeight="1" x14ac:dyDescent="0.2">
      <c r="A473" s="532"/>
      <c r="B473" s="532"/>
      <c r="C473" s="532"/>
      <c r="D473" s="537"/>
      <c r="E473" s="538"/>
      <c r="F473" s="532"/>
      <c r="G473" s="532"/>
      <c r="H473" s="532"/>
      <c r="I473" s="342"/>
      <c r="J473" s="342"/>
      <c r="K473" s="342"/>
      <c r="L473" s="342"/>
    </row>
    <row r="474" spans="1:12" ht="24" customHeight="1" x14ac:dyDescent="0.2">
      <c r="A474" s="532"/>
      <c r="B474" s="532"/>
      <c r="C474" s="532"/>
      <c r="D474" s="537"/>
      <c r="E474" s="538"/>
      <c r="F474" s="532"/>
      <c r="G474" s="532"/>
      <c r="H474" s="532"/>
      <c r="I474" s="342"/>
      <c r="J474" s="342"/>
      <c r="K474" s="342"/>
      <c r="L474" s="342"/>
    </row>
    <row r="475" spans="1:12" ht="24" customHeight="1" x14ac:dyDescent="0.2">
      <c r="A475" s="532"/>
      <c r="B475" s="532"/>
      <c r="C475" s="532"/>
      <c r="D475" s="537"/>
      <c r="E475" s="538"/>
      <c r="F475" s="532"/>
      <c r="G475" s="532"/>
      <c r="H475" s="532"/>
      <c r="I475" s="342"/>
      <c r="J475" s="342"/>
      <c r="K475" s="342"/>
      <c r="L475" s="342"/>
    </row>
    <row r="476" spans="1:12" ht="24" customHeight="1" x14ac:dyDescent="0.2">
      <c r="A476" s="532"/>
      <c r="B476" s="532"/>
      <c r="C476" s="532"/>
      <c r="D476" s="537"/>
      <c r="E476" s="538"/>
      <c r="F476" s="532"/>
      <c r="G476" s="532"/>
      <c r="H476" s="532"/>
      <c r="I476" s="342"/>
      <c r="J476" s="342"/>
      <c r="K476" s="342"/>
      <c r="L476" s="342"/>
    </row>
    <row r="477" spans="1:12" ht="24" customHeight="1" x14ac:dyDescent="0.2">
      <c r="A477" s="532"/>
      <c r="B477" s="532"/>
      <c r="C477" s="532"/>
      <c r="D477" s="537"/>
      <c r="E477" s="538"/>
      <c r="F477" s="532"/>
      <c r="G477" s="532"/>
      <c r="H477" s="532"/>
      <c r="I477" s="342"/>
      <c r="J477" s="342"/>
      <c r="K477" s="342"/>
      <c r="L477" s="342"/>
    </row>
    <row r="478" spans="1:12" ht="24" customHeight="1" x14ac:dyDescent="0.2">
      <c r="A478" s="532"/>
      <c r="B478" s="532"/>
      <c r="C478" s="532"/>
      <c r="D478" s="537"/>
      <c r="E478" s="538"/>
      <c r="F478" s="532"/>
      <c r="G478" s="532"/>
      <c r="H478" s="532"/>
      <c r="I478" s="342"/>
      <c r="J478" s="342"/>
      <c r="K478" s="342"/>
      <c r="L478" s="342"/>
    </row>
    <row r="479" spans="1:12" ht="24" customHeight="1" x14ac:dyDescent="0.2">
      <c r="A479" s="532"/>
      <c r="B479" s="532"/>
      <c r="C479" s="532"/>
      <c r="D479" s="537"/>
      <c r="E479" s="538"/>
      <c r="F479" s="532"/>
      <c r="G479" s="532"/>
      <c r="H479" s="532"/>
      <c r="I479" s="342"/>
      <c r="J479" s="342"/>
      <c r="K479" s="342"/>
      <c r="L479" s="342"/>
    </row>
    <row r="480" spans="1:12" ht="24" customHeight="1" x14ac:dyDescent="0.2">
      <c r="A480" s="532"/>
      <c r="B480" s="532"/>
      <c r="C480" s="532"/>
      <c r="D480" s="537"/>
      <c r="E480" s="538"/>
      <c r="F480" s="532"/>
      <c r="G480" s="532"/>
      <c r="H480" s="532"/>
      <c r="I480" s="342"/>
      <c r="J480" s="342"/>
      <c r="K480" s="342"/>
      <c r="L480" s="342"/>
    </row>
    <row r="481" spans="1:12" ht="24" customHeight="1" x14ac:dyDescent="0.2">
      <c r="A481" s="532"/>
      <c r="B481" s="532"/>
      <c r="C481" s="532"/>
      <c r="D481" s="537"/>
      <c r="E481" s="538"/>
      <c r="F481" s="532"/>
      <c r="G481" s="532"/>
      <c r="H481" s="532"/>
      <c r="I481" s="342"/>
      <c r="J481" s="342"/>
      <c r="K481" s="342"/>
      <c r="L481" s="342"/>
    </row>
    <row r="482" spans="1:12" ht="24" customHeight="1" x14ac:dyDescent="0.2">
      <c r="A482" s="532"/>
      <c r="B482" s="532"/>
      <c r="C482" s="532"/>
      <c r="D482" s="537"/>
      <c r="E482" s="538"/>
      <c r="F482" s="532"/>
      <c r="G482" s="532"/>
      <c r="H482" s="532"/>
      <c r="I482" s="342"/>
      <c r="J482" s="342"/>
      <c r="K482" s="342"/>
      <c r="L482" s="342"/>
    </row>
    <row r="483" spans="1:12" ht="24" customHeight="1" x14ac:dyDescent="0.2">
      <c r="A483" s="532"/>
      <c r="B483" s="532"/>
      <c r="C483" s="532"/>
      <c r="D483" s="537"/>
      <c r="E483" s="538"/>
      <c r="F483" s="532"/>
      <c r="G483" s="532"/>
      <c r="H483" s="532"/>
      <c r="I483" s="342"/>
      <c r="J483" s="342"/>
      <c r="K483" s="342"/>
      <c r="L483" s="342"/>
    </row>
    <row r="484" spans="1:12" ht="24" customHeight="1" x14ac:dyDescent="0.2">
      <c r="A484" s="532"/>
      <c r="B484" s="532"/>
      <c r="C484" s="532"/>
      <c r="D484" s="537"/>
      <c r="E484" s="538"/>
      <c r="F484" s="532"/>
      <c r="G484" s="532"/>
      <c r="H484" s="532"/>
      <c r="I484" s="342"/>
      <c r="J484" s="342"/>
      <c r="K484" s="342"/>
      <c r="L484" s="342"/>
    </row>
    <row r="485" spans="1:12" ht="24" customHeight="1" x14ac:dyDescent="0.2">
      <c r="A485" s="532"/>
      <c r="B485" s="532"/>
      <c r="C485" s="532"/>
      <c r="D485" s="537"/>
      <c r="E485" s="538"/>
      <c r="F485" s="532"/>
      <c r="G485" s="532"/>
      <c r="H485" s="532"/>
      <c r="I485" s="342"/>
      <c r="J485" s="342"/>
      <c r="K485" s="342"/>
      <c r="L485" s="342"/>
    </row>
    <row r="486" spans="1:12" ht="24" customHeight="1" x14ac:dyDescent="0.2">
      <c r="A486" s="532"/>
      <c r="B486" s="532"/>
      <c r="C486" s="532"/>
      <c r="D486" s="537"/>
      <c r="E486" s="538"/>
      <c r="F486" s="532"/>
      <c r="G486" s="532"/>
      <c r="H486" s="532"/>
      <c r="I486" s="342"/>
      <c r="J486" s="342"/>
      <c r="K486" s="342"/>
      <c r="L486" s="342"/>
    </row>
    <row r="487" spans="1:12" ht="24" customHeight="1" x14ac:dyDescent="0.2">
      <c r="A487" s="532"/>
      <c r="B487" s="532"/>
      <c r="C487" s="532"/>
      <c r="D487" s="537"/>
      <c r="E487" s="538"/>
      <c r="F487" s="532"/>
      <c r="G487" s="532"/>
      <c r="H487" s="532"/>
      <c r="I487" s="342"/>
      <c r="J487" s="342"/>
      <c r="K487" s="342"/>
      <c r="L487" s="342"/>
    </row>
    <row r="488" spans="1:12" ht="24" customHeight="1" x14ac:dyDescent="0.2">
      <c r="A488" s="532"/>
      <c r="B488" s="532"/>
      <c r="C488" s="532"/>
      <c r="D488" s="537"/>
      <c r="E488" s="538"/>
      <c r="F488" s="532"/>
      <c r="G488" s="532"/>
      <c r="H488" s="532"/>
      <c r="I488" s="342"/>
      <c r="J488" s="342"/>
      <c r="K488" s="342"/>
      <c r="L488" s="342"/>
    </row>
    <row r="489" spans="1:12" ht="24" customHeight="1" x14ac:dyDescent="0.2">
      <c r="A489" s="532"/>
      <c r="B489" s="532"/>
      <c r="C489" s="532"/>
      <c r="D489" s="537"/>
      <c r="E489" s="538"/>
      <c r="F489" s="532"/>
      <c r="G489" s="532"/>
      <c r="H489" s="532"/>
      <c r="I489" s="342"/>
      <c r="J489" s="342"/>
      <c r="K489" s="342"/>
      <c r="L489" s="342"/>
    </row>
    <row r="490" spans="1:12" ht="24" customHeight="1" x14ac:dyDescent="0.2">
      <c r="A490" s="532"/>
      <c r="B490" s="532"/>
      <c r="C490" s="532"/>
      <c r="D490" s="537"/>
      <c r="E490" s="538"/>
      <c r="F490" s="532"/>
      <c r="G490" s="532"/>
      <c r="H490" s="532"/>
      <c r="I490" s="342"/>
      <c r="J490" s="342"/>
      <c r="K490" s="342"/>
      <c r="L490" s="342"/>
    </row>
    <row r="491" spans="1:12" ht="24" customHeight="1" x14ac:dyDescent="0.2">
      <c r="A491" s="532"/>
      <c r="B491" s="532"/>
      <c r="C491" s="532"/>
      <c r="D491" s="537"/>
      <c r="E491" s="538"/>
      <c r="F491" s="532"/>
      <c r="G491" s="532"/>
      <c r="H491" s="532"/>
      <c r="I491" s="342"/>
      <c r="J491" s="342"/>
      <c r="K491" s="342"/>
      <c r="L491" s="342"/>
    </row>
    <row r="492" spans="1:12" ht="24" customHeight="1" x14ac:dyDescent="0.2">
      <c r="A492" s="532"/>
      <c r="B492" s="532"/>
      <c r="C492" s="532"/>
      <c r="D492" s="537"/>
      <c r="E492" s="538"/>
      <c r="F492" s="532"/>
      <c r="G492" s="532"/>
      <c r="H492" s="532"/>
      <c r="I492" s="342"/>
      <c r="J492" s="342"/>
      <c r="K492" s="342"/>
      <c r="L492" s="342"/>
    </row>
    <row r="493" spans="1:12" ht="24" customHeight="1" x14ac:dyDescent="0.2">
      <c r="A493" s="532"/>
      <c r="B493" s="532"/>
      <c r="C493" s="532"/>
      <c r="D493" s="537"/>
      <c r="E493" s="538"/>
      <c r="F493" s="532"/>
      <c r="G493" s="532"/>
      <c r="H493" s="532"/>
      <c r="I493" s="342"/>
      <c r="J493" s="342"/>
      <c r="K493" s="342"/>
      <c r="L493" s="342"/>
    </row>
    <row r="494" spans="1:12" ht="24" customHeight="1" x14ac:dyDescent="0.2">
      <c r="A494" s="532"/>
      <c r="B494" s="532"/>
      <c r="C494" s="532"/>
      <c r="D494" s="537"/>
      <c r="E494" s="538"/>
      <c r="F494" s="532"/>
      <c r="G494" s="532"/>
      <c r="H494" s="532"/>
      <c r="I494" s="342"/>
      <c r="J494" s="342"/>
      <c r="K494" s="342"/>
      <c r="L494" s="342"/>
    </row>
    <row r="495" spans="1:12" ht="24" customHeight="1" x14ac:dyDescent="0.2">
      <c r="A495" s="532"/>
      <c r="B495" s="532"/>
      <c r="C495" s="532"/>
      <c r="D495" s="537"/>
      <c r="E495" s="538"/>
      <c r="F495" s="532"/>
      <c r="G495" s="532"/>
      <c r="H495" s="532"/>
      <c r="I495" s="342"/>
      <c r="J495" s="342"/>
      <c r="K495" s="342"/>
      <c r="L495" s="342"/>
    </row>
    <row r="496" spans="1:12" ht="24" customHeight="1" x14ac:dyDescent="0.2">
      <c r="A496" s="532"/>
      <c r="B496" s="532"/>
      <c r="C496" s="532"/>
      <c r="D496" s="537"/>
      <c r="E496" s="538"/>
      <c r="F496" s="532"/>
      <c r="G496" s="532"/>
      <c r="H496" s="532"/>
      <c r="I496" s="342"/>
      <c r="J496" s="342"/>
      <c r="K496" s="342"/>
      <c r="L496" s="342"/>
    </row>
    <row r="497" spans="1:12" ht="24" customHeight="1" x14ac:dyDescent="0.2">
      <c r="A497" s="532"/>
      <c r="B497" s="532"/>
      <c r="C497" s="532"/>
      <c r="D497" s="537"/>
      <c r="E497" s="538"/>
      <c r="F497" s="532"/>
      <c r="G497" s="532"/>
      <c r="H497" s="532"/>
      <c r="I497" s="342"/>
      <c r="J497" s="342"/>
      <c r="K497" s="342"/>
      <c r="L497" s="342"/>
    </row>
    <row r="498" spans="1:12" ht="24" customHeight="1" x14ac:dyDescent="0.2">
      <c r="A498" s="532"/>
      <c r="B498" s="532"/>
      <c r="C498" s="532"/>
      <c r="D498" s="537"/>
      <c r="E498" s="538"/>
      <c r="F498" s="532"/>
      <c r="G498" s="532"/>
      <c r="H498" s="532"/>
      <c r="I498" s="342"/>
      <c r="J498" s="342"/>
      <c r="K498" s="342"/>
      <c r="L498" s="342"/>
    </row>
    <row r="499" spans="1:12" ht="24" customHeight="1" x14ac:dyDescent="0.2">
      <c r="A499" s="532"/>
      <c r="B499" s="532"/>
      <c r="C499" s="532"/>
      <c r="D499" s="537"/>
      <c r="E499" s="538"/>
      <c r="F499" s="532"/>
      <c r="G499" s="532"/>
      <c r="H499" s="532"/>
      <c r="I499" s="342"/>
      <c r="J499" s="342"/>
      <c r="K499" s="342"/>
      <c r="L499" s="342"/>
    </row>
    <row r="500" spans="1:12" ht="24" customHeight="1" x14ac:dyDescent="0.2">
      <c r="A500" s="532"/>
      <c r="B500" s="532"/>
      <c r="C500" s="532"/>
      <c r="D500" s="537"/>
      <c r="E500" s="538"/>
      <c r="F500" s="532"/>
      <c r="G500" s="532"/>
      <c r="H500" s="532"/>
      <c r="I500" s="342"/>
      <c r="J500" s="342"/>
      <c r="K500" s="342"/>
      <c r="L500" s="342"/>
    </row>
  </sheetData>
  <sheetProtection selectLockedCells="1"/>
  <dataConsolidate link="1"/>
  <mergeCells count="541">
    <mergeCell ref="C4:C7"/>
    <mergeCell ref="D4:D7"/>
    <mergeCell ref="E4:E7"/>
    <mergeCell ref="F4:F7"/>
    <mergeCell ref="Q1:T1"/>
    <mergeCell ref="U1:X1"/>
    <mergeCell ref="A2:X2"/>
    <mergeCell ref="C3:H3"/>
    <mergeCell ref="O3:P3"/>
    <mergeCell ref="S3:T3"/>
    <mergeCell ref="W3:X3"/>
    <mergeCell ref="A8:X8"/>
    <mergeCell ref="A9:X9"/>
    <mergeCell ref="B10:X10"/>
    <mergeCell ref="C11:X11"/>
    <mergeCell ref="Q5:Q7"/>
    <mergeCell ref="R5:T5"/>
    <mergeCell ref="U5:U7"/>
    <mergeCell ref="V5:X5"/>
    <mergeCell ref="L6:L7"/>
    <mergeCell ref="P6:P7"/>
    <mergeCell ref="T6:T7"/>
    <mergeCell ref="X6:X7"/>
    <mergeCell ref="G4:G7"/>
    <mergeCell ref="H4:H7"/>
    <mergeCell ref="I4:L4"/>
    <mergeCell ref="M4:P4"/>
    <mergeCell ref="Q4:T4"/>
    <mergeCell ref="U4:X4"/>
    <mergeCell ref="I5:I7"/>
    <mergeCell ref="J5:L5"/>
    <mergeCell ref="M5:M7"/>
    <mergeCell ref="N5:P5"/>
    <mergeCell ref="A4:A7"/>
    <mergeCell ref="B4:B7"/>
    <mergeCell ref="G12:G18"/>
    <mergeCell ref="F19:H19"/>
    <mergeCell ref="A20:A27"/>
    <mergeCell ref="B20:B27"/>
    <mergeCell ref="C20:C27"/>
    <mergeCell ref="D20:D27"/>
    <mergeCell ref="E20:E27"/>
    <mergeCell ref="F20:F26"/>
    <mergeCell ref="G20:G26"/>
    <mergeCell ref="F27:H27"/>
    <mergeCell ref="A12:A19"/>
    <mergeCell ref="B12:B19"/>
    <mergeCell ref="C12:C19"/>
    <mergeCell ref="D12:D19"/>
    <mergeCell ref="E12:E19"/>
    <mergeCell ref="F12:F18"/>
    <mergeCell ref="G28:G33"/>
    <mergeCell ref="F34:H34"/>
    <mergeCell ref="A35:A42"/>
    <mergeCell ref="B35:B42"/>
    <mergeCell ref="C35:C42"/>
    <mergeCell ref="D35:D42"/>
    <mergeCell ref="E35:E42"/>
    <mergeCell ref="F35:F41"/>
    <mergeCell ref="G35:G41"/>
    <mergeCell ref="F42:H42"/>
    <mergeCell ref="A28:A34"/>
    <mergeCell ref="B28:B34"/>
    <mergeCell ref="C28:C34"/>
    <mergeCell ref="D28:D34"/>
    <mergeCell ref="E28:E34"/>
    <mergeCell ref="F28:F33"/>
    <mergeCell ref="G43:G49"/>
    <mergeCell ref="F50:H50"/>
    <mergeCell ref="A51:A58"/>
    <mergeCell ref="B51:B58"/>
    <mergeCell ref="C51:C58"/>
    <mergeCell ref="D51:D58"/>
    <mergeCell ref="E51:E58"/>
    <mergeCell ref="F51:F57"/>
    <mergeCell ref="G51:G57"/>
    <mergeCell ref="F58:H58"/>
    <mergeCell ref="A43:A50"/>
    <mergeCell ref="B43:B50"/>
    <mergeCell ref="C43:C50"/>
    <mergeCell ref="D43:D50"/>
    <mergeCell ref="E43:E50"/>
    <mergeCell ref="F43:F49"/>
    <mergeCell ref="G59:G64"/>
    <mergeCell ref="F65:H65"/>
    <mergeCell ref="A66:A73"/>
    <mergeCell ref="B66:B73"/>
    <mergeCell ref="C66:C73"/>
    <mergeCell ref="D66:D73"/>
    <mergeCell ref="E66:E73"/>
    <mergeCell ref="F66:F72"/>
    <mergeCell ref="G66:G72"/>
    <mergeCell ref="F73:H73"/>
    <mergeCell ref="A59:A65"/>
    <mergeCell ref="B59:B65"/>
    <mergeCell ref="C59:C65"/>
    <mergeCell ref="D59:D65"/>
    <mergeCell ref="E59:E65"/>
    <mergeCell ref="F59:F64"/>
    <mergeCell ref="G74:G80"/>
    <mergeCell ref="F81:H81"/>
    <mergeCell ref="A82:A89"/>
    <mergeCell ref="B82:B89"/>
    <mergeCell ref="C82:C89"/>
    <mergeCell ref="D82:D89"/>
    <mergeCell ref="E82:E89"/>
    <mergeCell ref="F82:F88"/>
    <mergeCell ref="G82:G88"/>
    <mergeCell ref="F89:H89"/>
    <mergeCell ref="A74:A81"/>
    <mergeCell ref="B74:B81"/>
    <mergeCell ref="C74:C81"/>
    <mergeCell ref="D74:D81"/>
    <mergeCell ref="E74:E81"/>
    <mergeCell ref="F74:F80"/>
    <mergeCell ref="G90:G95"/>
    <mergeCell ref="F96:H96"/>
    <mergeCell ref="A97:A104"/>
    <mergeCell ref="B97:B104"/>
    <mergeCell ref="C97:C104"/>
    <mergeCell ref="D97:D104"/>
    <mergeCell ref="E97:E104"/>
    <mergeCell ref="F97:F103"/>
    <mergeCell ref="G97:G103"/>
    <mergeCell ref="F104:H104"/>
    <mergeCell ref="A90:A96"/>
    <mergeCell ref="B90:B96"/>
    <mergeCell ref="C90:C96"/>
    <mergeCell ref="D90:D96"/>
    <mergeCell ref="E90:E96"/>
    <mergeCell ref="F90:F95"/>
    <mergeCell ref="G105:G110"/>
    <mergeCell ref="F111:H111"/>
    <mergeCell ref="A112:A118"/>
    <mergeCell ref="B112:B118"/>
    <mergeCell ref="C112:C118"/>
    <mergeCell ref="D112:D118"/>
    <mergeCell ref="E112:E118"/>
    <mergeCell ref="F112:F117"/>
    <mergeCell ref="G112:G117"/>
    <mergeCell ref="F118:H118"/>
    <mergeCell ref="A105:A111"/>
    <mergeCell ref="B105:B111"/>
    <mergeCell ref="C105:C111"/>
    <mergeCell ref="D105:D111"/>
    <mergeCell ref="E105:E111"/>
    <mergeCell ref="F105:F110"/>
    <mergeCell ref="G119:G122"/>
    <mergeCell ref="F123:H123"/>
    <mergeCell ref="A124:A128"/>
    <mergeCell ref="B124:B128"/>
    <mergeCell ref="C124:C128"/>
    <mergeCell ref="D124:D128"/>
    <mergeCell ref="E124:E128"/>
    <mergeCell ref="F124:F127"/>
    <mergeCell ref="G124:G127"/>
    <mergeCell ref="F128:H128"/>
    <mergeCell ref="A119:A123"/>
    <mergeCell ref="B119:B123"/>
    <mergeCell ref="C119:C123"/>
    <mergeCell ref="D119:D123"/>
    <mergeCell ref="E119:E123"/>
    <mergeCell ref="F119:F122"/>
    <mergeCell ref="G129:G132"/>
    <mergeCell ref="F133:H133"/>
    <mergeCell ref="A134:A138"/>
    <mergeCell ref="B134:B138"/>
    <mergeCell ref="C134:C138"/>
    <mergeCell ref="D134:D138"/>
    <mergeCell ref="E134:E138"/>
    <mergeCell ref="F134:F137"/>
    <mergeCell ref="G134:G137"/>
    <mergeCell ref="F138:H138"/>
    <mergeCell ref="A129:A133"/>
    <mergeCell ref="B129:B133"/>
    <mergeCell ref="C129:C133"/>
    <mergeCell ref="D129:D133"/>
    <mergeCell ref="E129:E133"/>
    <mergeCell ref="F129:F132"/>
    <mergeCell ref="G139:G143"/>
    <mergeCell ref="F144:H144"/>
    <mergeCell ref="A145:A151"/>
    <mergeCell ref="B145:B151"/>
    <mergeCell ref="C145:C151"/>
    <mergeCell ref="D145:D151"/>
    <mergeCell ref="E145:E151"/>
    <mergeCell ref="F145:F150"/>
    <mergeCell ref="G145:G150"/>
    <mergeCell ref="F151:H151"/>
    <mergeCell ref="A139:A144"/>
    <mergeCell ref="B139:B144"/>
    <mergeCell ref="C139:C144"/>
    <mergeCell ref="D139:D144"/>
    <mergeCell ref="E139:E144"/>
    <mergeCell ref="F139:F143"/>
    <mergeCell ref="A161:A162"/>
    <mergeCell ref="B161:B162"/>
    <mergeCell ref="C161:C162"/>
    <mergeCell ref="D161:D162"/>
    <mergeCell ref="E161:E162"/>
    <mergeCell ref="F162:H162"/>
    <mergeCell ref="G152:G155"/>
    <mergeCell ref="F156:H156"/>
    <mergeCell ref="A157:A160"/>
    <mergeCell ref="B157:B160"/>
    <mergeCell ref="C157:C160"/>
    <mergeCell ref="D157:D160"/>
    <mergeCell ref="E157:E160"/>
    <mergeCell ref="F157:F159"/>
    <mergeCell ref="G157:G159"/>
    <mergeCell ref="F160:H160"/>
    <mergeCell ref="A152:A156"/>
    <mergeCell ref="B152:B156"/>
    <mergeCell ref="C152:C156"/>
    <mergeCell ref="D152:D156"/>
    <mergeCell ref="E152:E156"/>
    <mergeCell ref="F152:F155"/>
    <mergeCell ref="G163:G166"/>
    <mergeCell ref="F167:H167"/>
    <mergeCell ref="A168:A172"/>
    <mergeCell ref="B168:B172"/>
    <mergeCell ref="C168:C172"/>
    <mergeCell ref="D168:D172"/>
    <mergeCell ref="E168:E172"/>
    <mergeCell ref="F168:F171"/>
    <mergeCell ref="G168:G171"/>
    <mergeCell ref="F172:H172"/>
    <mergeCell ref="A163:A167"/>
    <mergeCell ref="B163:B167"/>
    <mergeCell ref="C163:C167"/>
    <mergeCell ref="D163:D167"/>
    <mergeCell ref="E163:E167"/>
    <mergeCell ref="F163:F166"/>
    <mergeCell ref="G173:G175"/>
    <mergeCell ref="F176:H176"/>
    <mergeCell ref="A177:A179"/>
    <mergeCell ref="B177:B179"/>
    <mergeCell ref="C177:C179"/>
    <mergeCell ref="D177:D179"/>
    <mergeCell ref="E177:E179"/>
    <mergeCell ref="F177:F178"/>
    <mergeCell ref="G177:G178"/>
    <mergeCell ref="F179:H179"/>
    <mergeCell ref="A173:A176"/>
    <mergeCell ref="B173:B176"/>
    <mergeCell ref="C173:C176"/>
    <mergeCell ref="D173:D176"/>
    <mergeCell ref="E173:E176"/>
    <mergeCell ref="F173:F175"/>
    <mergeCell ref="A187:A188"/>
    <mergeCell ref="B187:B188"/>
    <mergeCell ref="C187:C188"/>
    <mergeCell ref="D187:D188"/>
    <mergeCell ref="E187:E188"/>
    <mergeCell ref="F188:H188"/>
    <mergeCell ref="G180:G182"/>
    <mergeCell ref="F183:H183"/>
    <mergeCell ref="A184:A186"/>
    <mergeCell ref="B184:B186"/>
    <mergeCell ref="C184:C186"/>
    <mergeCell ref="D184:D186"/>
    <mergeCell ref="E184:E186"/>
    <mergeCell ref="F184:F185"/>
    <mergeCell ref="G184:G185"/>
    <mergeCell ref="F186:H186"/>
    <mergeCell ref="A180:A183"/>
    <mergeCell ref="B180:B183"/>
    <mergeCell ref="C180:C183"/>
    <mergeCell ref="D180:D183"/>
    <mergeCell ref="E180:E183"/>
    <mergeCell ref="F180:F182"/>
    <mergeCell ref="C191:H191"/>
    <mergeCell ref="C192:X192"/>
    <mergeCell ref="A193:A194"/>
    <mergeCell ref="B193:B194"/>
    <mergeCell ref="C193:C194"/>
    <mergeCell ref="D193:D194"/>
    <mergeCell ref="E193:E194"/>
    <mergeCell ref="F194:H194"/>
    <mergeCell ref="A189:A190"/>
    <mergeCell ref="B189:B190"/>
    <mergeCell ref="C189:C190"/>
    <mergeCell ref="D189:D190"/>
    <mergeCell ref="E189:E190"/>
    <mergeCell ref="F190:H190"/>
    <mergeCell ref="A205:A206"/>
    <mergeCell ref="B205:B206"/>
    <mergeCell ref="C205:C206"/>
    <mergeCell ref="D205:D206"/>
    <mergeCell ref="E205:E206"/>
    <mergeCell ref="F206:H206"/>
    <mergeCell ref="G195:G198"/>
    <mergeCell ref="F199:H199"/>
    <mergeCell ref="A200:A204"/>
    <mergeCell ref="B200:B204"/>
    <mergeCell ref="C200:C204"/>
    <mergeCell ref="D200:D204"/>
    <mergeCell ref="E200:E204"/>
    <mergeCell ref="F200:F203"/>
    <mergeCell ref="G200:G203"/>
    <mergeCell ref="F204:H204"/>
    <mergeCell ref="A195:A199"/>
    <mergeCell ref="B195:B199"/>
    <mergeCell ref="C195:C199"/>
    <mergeCell ref="D195:D199"/>
    <mergeCell ref="E195:E199"/>
    <mergeCell ref="F195:F198"/>
    <mergeCell ref="G207:G209"/>
    <mergeCell ref="F210:H210"/>
    <mergeCell ref="A211:A212"/>
    <mergeCell ref="B211:B212"/>
    <mergeCell ref="C211:C212"/>
    <mergeCell ref="D211:D212"/>
    <mergeCell ref="E211:E212"/>
    <mergeCell ref="F212:H212"/>
    <mergeCell ref="A207:A210"/>
    <mergeCell ref="B207:B210"/>
    <mergeCell ref="C207:C210"/>
    <mergeCell ref="D207:D210"/>
    <mergeCell ref="E207:E210"/>
    <mergeCell ref="F207:F209"/>
    <mergeCell ref="A215:A216"/>
    <mergeCell ref="B215:B216"/>
    <mergeCell ref="C215:C216"/>
    <mergeCell ref="D215:D216"/>
    <mergeCell ref="E215:E216"/>
    <mergeCell ref="F216:H216"/>
    <mergeCell ref="A213:A214"/>
    <mergeCell ref="B213:B214"/>
    <mergeCell ref="C213:C214"/>
    <mergeCell ref="D213:D214"/>
    <mergeCell ref="E213:E214"/>
    <mergeCell ref="F214:H214"/>
    <mergeCell ref="A222:A229"/>
    <mergeCell ref="B222:B229"/>
    <mergeCell ref="C222:C229"/>
    <mergeCell ref="D222:D229"/>
    <mergeCell ref="F229:H229"/>
    <mergeCell ref="C230:H230"/>
    <mergeCell ref="C217:H217"/>
    <mergeCell ref="C218:X218"/>
    <mergeCell ref="A219:A221"/>
    <mergeCell ref="B219:B221"/>
    <mergeCell ref="C219:C221"/>
    <mergeCell ref="D219:D221"/>
    <mergeCell ref="E219:E221"/>
    <mergeCell ref="F219:F220"/>
    <mergeCell ref="G219:G220"/>
    <mergeCell ref="F221:H221"/>
    <mergeCell ref="B231:H231"/>
    <mergeCell ref="B232:X232"/>
    <mergeCell ref="C233:X233"/>
    <mergeCell ref="A234:A236"/>
    <mergeCell ref="B234:B236"/>
    <mergeCell ref="C234:C236"/>
    <mergeCell ref="D234:D236"/>
    <mergeCell ref="E234:E236"/>
    <mergeCell ref="F234:F235"/>
    <mergeCell ref="G234:G235"/>
    <mergeCell ref="E279:E280"/>
    <mergeCell ref="F236:H236"/>
    <mergeCell ref="A237:A238"/>
    <mergeCell ref="B237:B238"/>
    <mergeCell ref="C237:C238"/>
    <mergeCell ref="D237:D238"/>
    <mergeCell ref="E237:E238"/>
    <mergeCell ref="F238:H238"/>
    <mergeCell ref="E245:E246"/>
    <mergeCell ref="F245:F246"/>
    <mergeCell ref="E247:E248"/>
    <mergeCell ref="F247:F248"/>
    <mergeCell ref="E249:E250"/>
    <mergeCell ref="E239:E240"/>
    <mergeCell ref="F239:F240"/>
    <mergeCell ref="F249:F250"/>
    <mergeCell ref="E252:E253"/>
    <mergeCell ref="F252:F253"/>
    <mergeCell ref="F279:F280"/>
    <mergeCell ref="F281:H281"/>
    <mergeCell ref="A282:A283"/>
    <mergeCell ref="B282:B283"/>
    <mergeCell ref="C282:C283"/>
    <mergeCell ref="D282:D283"/>
    <mergeCell ref="E282:E283"/>
    <mergeCell ref="F283:H283"/>
    <mergeCell ref="A239:A281"/>
    <mergeCell ref="B239:B281"/>
    <mergeCell ref="C239:C281"/>
    <mergeCell ref="D239:D281"/>
    <mergeCell ref="F254:F255"/>
    <mergeCell ref="E256:E257"/>
    <mergeCell ref="F256:F257"/>
    <mergeCell ref="E259:E260"/>
    <mergeCell ref="F259:F260"/>
    <mergeCell ref="E271:E272"/>
    <mergeCell ref="F271:F272"/>
    <mergeCell ref="G239:G280"/>
    <mergeCell ref="E241:E242"/>
    <mergeCell ref="F241:F242"/>
    <mergeCell ref="E243:E244"/>
    <mergeCell ref="F243:F244"/>
    <mergeCell ref="E254:E255"/>
    <mergeCell ref="A286:A287"/>
    <mergeCell ref="B286:B287"/>
    <mergeCell ref="C286:C287"/>
    <mergeCell ref="D286:D287"/>
    <mergeCell ref="E286:E287"/>
    <mergeCell ref="F287:H287"/>
    <mergeCell ref="A284:A285"/>
    <mergeCell ref="B284:B285"/>
    <mergeCell ref="C284:C285"/>
    <mergeCell ref="D284:D285"/>
    <mergeCell ref="E284:E285"/>
    <mergeCell ref="F285:H285"/>
    <mergeCell ref="G288:G292"/>
    <mergeCell ref="F293:H293"/>
    <mergeCell ref="A294:A295"/>
    <mergeCell ref="B294:B295"/>
    <mergeCell ref="C294:C295"/>
    <mergeCell ref="D294:D295"/>
    <mergeCell ref="E294:E295"/>
    <mergeCell ref="F295:H295"/>
    <mergeCell ref="A288:A293"/>
    <mergeCell ref="B288:B293"/>
    <mergeCell ref="C288:C293"/>
    <mergeCell ref="D288:D293"/>
    <mergeCell ref="E288:E293"/>
    <mergeCell ref="F288:F292"/>
    <mergeCell ref="G296:G297"/>
    <mergeCell ref="F298:H298"/>
    <mergeCell ref="A299:A300"/>
    <mergeCell ref="B299:B300"/>
    <mergeCell ref="C299:C300"/>
    <mergeCell ref="D299:D300"/>
    <mergeCell ref="E299:E300"/>
    <mergeCell ref="F300:H300"/>
    <mergeCell ref="A296:A298"/>
    <mergeCell ref="B296:B298"/>
    <mergeCell ref="C296:C298"/>
    <mergeCell ref="D296:D298"/>
    <mergeCell ref="E296:E298"/>
    <mergeCell ref="F296:F297"/>
    <mergeCell ref="G301:G302"/>
    <mergeCell ref="F303:H303"/>
    <mergeCell ref="A304:A306"/>
    <mergeCell ref="B304:B306"/>
    <mergeCell ref="C304:C306"/>
    <mergeCell ref="D304:D306"/>
    <mergeCell ref="E304:E306"/>
    <mergeCell ref="F304:F305"/>
    <mergeCell ref="G304:G305"/>
    <mergeCell ref="F306:H306"/>
    <mergeCell ref="A301:A303"/>
    <mergeCell ref="B301:B303"/>
    <mergeCell ref="C301:C303"/>
    <mergeCell ref="D301:D303"/>
    <mergeCell ref="E301:E303"/>
    <mergeCell ref="F301:F302"/>
    <mergeCell ref="G307:G308"/>
    <mergeCell ref="F309:H309"/>
    <mergeCell ref="C310:H310"/>
    <mergeCell ref="B311:H311"/>
    <mergeCell ref="A312:H312"/>
    <mergeCell ref="A313:H313"/>
    <mergeCell ref="A307:A309"/>
    <mergeCell ref="B307:B309"/>
    <mergeCell ref="C307:C309"/>
    <mergeCell ref="D307:D309"/>
    <mergeCell ref="E307:E309"/>
    <mergeCell ref="F307:F308"/>
    <mergeCell ref="A319:H319"/>
    <mergeCell ref="A320:H320"/>
    <mergeCell ref="A321:H321"/>
    <mergeCell ref="A322:H322"/>
    <mergeCell ref="A323:H323"/>
    <mergeCell ref="A324:H324"/>
    <mergeCell ref="A314:H314"/>
    <mergeCell ref="A315:H315"/>
    <mergeCell ref="A316:H316"/>
    <mergeCell ref="A317:H317"/>
    <mergeCell ref="A318:H318"/>
    <mergeCell ref="E331:H331"/>
    <mergeCell ref="E332:G332"/>
    <mergeCell ref="E333:G333"/>
    <mergeCell ref="E334:G334"/>
    <mergeCell ref="E335:G335"/>
    <mergeCell ref="E336:G336"/>
    <mergeCell ref="A325:H325"/>
    <mergeCell ref="A326:H326"/>
    <mergeCell ref="A327:E327"/>
    <mergeCell ref="D328:H328"/>
    <mergeCell ref="E329:G329"/>
    <mergeCell ref="E330:G330"/>
    <mergeCell ref="E343:G343"/>
    <mergeCell ref="E344:G344"/>
    <mergeCell ref="E345:G345"/>
    <mergeCell ref="E346:G346"/>
    <mergeCell ref="E347:G347"/>
    <mergeCell ref="E348:G348"/>
    <mergeCell ref="E337:G337"/>
    <mergeCell ref="E338:G338"/>
    <mergeCell ref="E339:G339"/>
    <mergeCell ref="E340:G340"/>
    <mergeCell ref="E341:G341"/>
    <mergeCell ref="E342:G342"/>
    <mergeCell ref="E355:G355"/>
    <mergeCell ref="E356:G356"/>
    <mergeCell ref="E357:G357"/>
    <mergeCell ref="E358:G358"/>
    <mergeCell ref="E359:G359"/>
    <mergeCell ref="E360:F360"/>
    <mergeCell ref="E349:G349"/>
    <mergeCell ref="E350:G350"/>
    <mergeCell ref="E351:G351"/>
    <mergeCell ref="E352:G352"/>
    <mergeCell ref="E353:G353"/>
    <mergeCell ref="E354:G354"/>
    <mergeCell ref="E367:G367"/>
    <mergeCell ref="E368:G368"/>
    <mergeCell ref="A372:E372"/>
    <mergeCell ref="A376:E376"/>
    <mergeCell ref="A380:E380"/>
    <mergeCell ref="A384:E384"/>
    <mergeCell ref="E361:G361"/>
    <mergeCell ref="E362:G362"/>
    <mergeCell ref="E363:G363"/>
    <mergeCell ref="E364:G364"/>
    <mergeCell ref="E365:G365"/>
    <mergeCell ref="E366:F366"/>
    <mergeCell ref="A409:E409"/>
    <mergeCell ref="A413:E413"/>
    <mergeCell ref="A418:E418"/>
    <mergeCell ref="A421:E421"/>
    <mergeCell ref="A425:E425"/>
    <mergeCell ref="A429:E429"/>
    <mergeCell ref="A388:E388"/>
    <mergeCell ref="A391:E391"/>
    <mergeCell ref="A394:E394"/>
    <mergeCell ref="A397:E397"/>
    <mergeCell ref="A401:E401"/>
    <mergeCell ref="A405:E405"/>
  </mergeCells>
  <pageMargins left="0.11811023622047245" right="0" top="0.55118110236220474" bottom="0.15748031496062992" header="0.31496062992125984" footer="0.31496062992125984"/>
  <pageSetup paperSize="9" scale="80" fitToHeight="17" orientation="landscape" cellComments="asDisplayed" r:id="rId1"/>
  <headerFooter alignWithMargins="0">
    <oddHeader>&amp;C&amp;P&amp;R1 programa</oddHeader>
  </headerFooter>
  <rowBreaks count="6" manualBreakCount="6">
    <brk id="42" max="23" man="1"/>
    <brk id="104" max="23" man="1"/>
    <brk id="133" max="23" man="1"/>
    <brk id="167" max="23" man="1"/>
    <brk id="183" max="23" man="1"/>
    <brk id="281" max="2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62"/>
  <sheetViews>
    <sheetView showZeros="0" tabSelected="1" topLeftCell="L86" zoomScale="145" zoomScaleNormal="145" zoomScaleSheetLayoutView="70" workbookViewId="0">
      <selection activeCell="Z90" sqref="Z90"/>
    </sheetView>
  </sheetViews>
  <sheetFormatPr defaultRowHeight="12.75" x14ac:dyDescent="0.2"/>
  <cols>
    <col min="1" max="2" width="4.28515625" style="309" customWidth="1"/>
    <col min="3" max="3" width="16.28515625" style="238" customWidth="1"/>
    <col min="4" max="4" width="9.28515625" customWidth="1"/>
    <col min="5" max="5" width="10" style="2" customWidth="1"/>
    <col min="6" max="6" width="10.7109375" style="2" customWidth="1"/>
    <col min="7" max="7" width="10" style="2" customWidth="1"/>
    <col min="8" max="8" width="10.5703125" style="2" customWidth="1"/>
    <col min="9" max="10" width="10.7109375" style="2" customWidth="1"/>
    <col min="11" max="11" width="10" style="2" customWidth="1"/>
    <col min="12" max="12" width="9.28515625" style="2" customWidth="1"/>
    <col min="13" max="13" width="9.7109375" style="2" customWidth="1"/>
    <col min="14" max="14" width="9.5703125" style="2" customWidth="1"/>
    <col min="15" max="15" width="10" style="2" customWidth="1"/>
    <col min="16" max="16" width="10.42578125" style="2" customWidth="1"/>
    <col min="17" max="18" width="10.7109375" style="2" customWidth="1"/>
    <col min="19" max="19" width="10" style="2" customWidth="1"/>
    <col min="20" max="20" width="12" style="2" customWidth="1"/>
  </cols>
  <sheetData>
    <row r="1" spans="1:20" s="6" customFormat="1" ht="50.25" customHeight="1" x14ac:dyDescent="0.2">
      <c r="A1" s="233"/>
      <c r="B1" s="234"/>
      <c r="C1" s="235"/>
      <c r="D1" s="234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4057" t="s">
        <v>1300</v>
      </c>
      <c r="R1" s="4057"/>
      <c r="S1" s="4057"/>
      <c r="T1" s="4058"/>
    </row>
    <row r="2" spans="1:20" ht="35.25" customHeight="1" x14ac:dyDescent="0.2">
      <c r="A2" s="4059" t="s">
        <v>1301</v>
      </c>
      <c r="B2" s="4060"/>
      <c r="C2" s="4060"/>
      <c r="D2" s="4060"/>
      <c r="E2" s="4060"/>
      <c r="F2" s="4060"/>
      <c r="G2" s="4060"/>
      <c r="H2" s="4060"/>
      <c r="I2" s="4060"/>
      <c r="J2" s="4060"/>
      <c r="K2" s="4060"/>
      <c r="L2" s="4060"/>
      <c r="M2" s="4060"/>
      <c r="N2" s="4060"/>
      <c r="O2" s="4060"/>
      <c r="P2" s="4060"/>
      <c r="Q2" s="4060"/>
      <c r="R2" s="4060"/>
      <c r="S2" s="4060"/>
      <c r="T2" s="4061"/>
    </row>
    <row r="3" spans="1:20" ht="13.5" thickBot="1" x14ac:dyDescent="0.25">
      <c r="A3" s="237"/>
      <c r="B3" s="2320"/>
      <c r="C3" s="2321"/>
      <c r="D3" s="2322"/>
      <c r="E3" s="2323"/>
      <c r="F3" s="2323"/>
      <c r="G3" s="2323"/>
      <c r="H3" s="2323"/>
      <c r="I3" s="2323"/>
      <c r="J3" s="2323"/>
      <c r="K3" s="2323"/>
      <c r="L3" s="2323"/>
      <c r="M3" s="2323"/>
      <c r="N3" s="2323"/>
      <c r="O3" s="2323"/>
      <c r="P3" s="2323"/>
      <c r="Q3" s="2323"/>
      <c r="R3" s="2323"/>
      <c r="S3" s="4062" t="s">
        <v>2</v>
      </c>
      <c r="T3" s="4063"/>
    </row>
    <row r="4" spans="1:20" s="1" customFormat="1" ht="11.25" x14ac:dyDescent="0.2">
      <c r="A4" s="4064" t="s">
        <v>1302</v>
      </c>
      <c r="B4" s="4064" t="s">
        <v>1303</v>
      </c>
      <c r="C4" s="4067" t="s">
        <v>1304</v>
      </c>
      <c r="D4" s="3746" t="s">
        <v>10</v>
      </c>
      <c r="E4" s="4071" t="s">
        <v>11</v>
      </c>
      <c r="F4" s="4072"/>
      <c r="G4" s="4072"/>
      <c r="H4" s="3747"/>
      <c r="I4" s="4071" t="s">
        <v>12</v>
      </c>
      <c r="J4" s="4072"/>
      <c r="K4" s="4072"/>
      <c r="L4" s="3747"/>
      <c r="M4" s="4071" t="s">
        <v>13</v>
      </c>
      <c r="N4" s="4072"/>
      <c r="O4" s="4072"/>
      <c r="P4" s="3747"/>
      <c r="Q4" s="4071" t="s">
        <v>14</v>
      </c>
      <c r="R4" s="4072"/>
      <c r="S4" s="4072"/>
      <c r="T4" s="3747"/>
    </row>
    <row r="5" spans="1:20" s="1" customFormat="1" ht="11.25" x14ac:dyDescent="0.2">
      <c r="A5" s="4065"/>
      <c r="B5" s="4065"/>
      <c r="C5" s="4068"/>
      <c r="D5" s="4069"/>
      <c r="E5" s="4073" t="s">
        <v>15</v>
      </c>
      <c r="F5" s="4051" t="s">
        <v>16</v>
      </c>
      <c r="G5" s="4052"/>
      <c r="H5" s="4075"/>
      <c r="I5" s="4073" t="s">
        <v>15</v>
      </c>
      <c r="J5" s="4051" t="s">
        <v>16</v>
      </c>
      <c r="K5" s="4052"/>
      <c r="L5" s="4075"/>
      <c r="M5" s="4073" t="s">
        <v>15</v>
      </c>
      <c r="N5" s="4051" t="s">
        <v>16</v>
      </c>
      <c r="O5" s="4052"/>
      <c r="P5" s="4075"/>
      <c r="Q5" s="4073" t="s">
        <v>15</v>
      </c>
      <c r="R5" s="4051" t="s">
        <v>16</v>
      </c>
      <c r="S5" s="4052"/>
      <c r="T5" s="4075"/>
    </row>
    <row r="6" spans="1:20" s="1" customFormat="1" ht="11.25" x14ac:dyDescent="0.2">
      <c r="A6" s="4065"/>
      <c r="B6" s="4065"/>
      <c r="C6" s="4068"/>
      <c r="D6" s="4070"/>
      <c r="E6" s="4074"/>
      <c r="F6" s="4051" t="s">
        <v>17</v>
      </c>
      <c r="G6" s="4052"/>
      <c r="H6" s="3739" t="s">
        <v>18</v>
      </c>
      <c r="I6" s="4074"/>
      <c r="J6" s="4051" t="s">
        <v>17</v>
      </c>
      <c r="K6" s="4052"/>
      <c r="L6" s="3739" t="s">
        <v>18</v>
      </c>
      <c r="M6" s="4074"/>
      <c r="N6" s="4051" t="s">
        <v>17</v>
      </c>
      <c r="O6" s="4052"/>
      <c r="P6" s="3739" t="s">
        <v>18</v>
      </c>
      <c r="Q6" s="4074"/>
      <c r="R6" s="4051" t="s">
        <v>17</v>
      </c>
      <c r="S6" s="4052"/>
      <c r="T6" s="3739" t="s">
        <v>18</v>
      </c>
    </row>
    <row r="7" spans="1:20" s="1" customFormat="1" ht="49.9" customHeight="1" thickBot="1" x14ac:dyDescent="0.25">
      <c r="A7" s="4066"/>
      <c r="B7" s="4066"/>
      <c r="C7" s="4068"/>
      <c r="D7" s="4070"/>
      <c r="E7" s="4074"/>
      <c r="F7" s="3" t="s">
        <v>15</v>
      </c>
      <c r="G7" s="239" t="s">
        <v>19</v>
      </c>
      <c r="H7" s="4053"/>
      <c r="I7" s="4074"/>
      <c r="J7" s="3" t="s">
        <v>15</v>
      </c>
      <c r="K7" s="239" t="s">
        <v>19</v>
      </c>
      <c r="L7" s="4053"/>
      <c r="M7" s="4074"/>
      <c r="N7" s="3" t="s">
        <v>15</v>
      </c>
      <c r="O7" s="239" t="s">
        <v>19</v>
      </c>
      <c r="P7" s="4053"/>
      <c r="Q7" s="4074"/>
      <c r="R7" s="3" t="s">
        <v>15</v>
      </c>
      <c r="S7" s="239" t="s">
        <v>19</v>
      </c>
      <c r="T7" s="4053"/>
    </row>
    <row r="8" spans="1:20" s="1" customFormat="1" ht="11.25" customHeight="1" x14ac:dyDescent="0.2">
      <c r="A8" s="4020">
        <v>1</v>
      </c>
      <c r="B8" s="3990">
        <v>1</v>
      </c>
      <c r="C8" s="4048" t="s">
        <v>1305</v>
      </c>
      <c r="D8" s="240" t="s">
        <v>30</v>
      </c>
      <c r="E8" s="241">
        <v>15913.299999999994</v>
      </c>
      <c r="F8" s="22">
        <v>14916.299999999994</v>
      </c>
      <c r="G8" s="22">
        <v>10651.800000000001</v>
      </c>
      <c r="H8" s="29">
        <v>996.99999999999989</v>
      </c>
      <c r="I8" s="21">
        <v>17821.400000000005</v>
      </c>
      <c r="J8" s="22">
        <v>16558.200000000004</v>
      </c>
      <c r="K8" s="22">
        <v>12625.399999999998</v>
      </c>
      <c r="L8" s="29">
        <v>1263.2</v>
      </c>
      <c r="M8" s="21">
        <v>23164.400000000005</v>
      </c>
      <c r="N8" s="22">
        <v>19056.400000000005</v>
      </c>
      <c r="O8" s="22">
        <v>12745.799999999997</v>
      </c>
      <c r="P8" s="29">
        <v>4108</v>
      </c>
      <c r="Q8" s="21">
        <v>24101.400000000005</v>
      </c>
      <c r="R8" s="22">
        <v>19056.400000000005</v>
      </c>
      <c r="S8" s="22">
        <v>12745.799999999997</v>
      </c>
      <c r="T8" s="29">
        <v>5045</v>
      </c>
    </row>
    <row r="9" spans="1:20" s="1" customFormat="1" ht="12.75" customHeight="1" x14ac:dyDescent="0.2">
      <c r="A9" s="4021"/>
      <c r="B9" s="3991"/>
      <c r="C9" s="4049"/>
      <c r="D9" s="242" t="s">
        <v>33</v>
      </c>
      <c r="E9" s="50">
        <v>471.8</v>
      </c>
      <c r="F9" s="17">
        <v>471.8</v>
      </c>
      <c r="G9" s="17">
        <v>152.10000000000002</v>
      </c>
      <c r="H9" s="17">
        <v>0</v>
      </c>
      <c r="I9" s="5">
        <v>604.19999999999993</v>
      </c>
      <c r="J9" s="17">
        <v>604.19999999999993</v>
      </c>
      <c r="K9" s="17">
        <v>338.1</v>
      </c>
      <c r="L9" s="17">
        <v>0</v>
      </c>
      <c r="M9" s="5">
        <v>598.9</v>
      </c>
      <c r="N9" s="17">
        <v>366.9</v>
      </c>
      <c r="O9" s="17">
        <v>103.5</v>
      </c>
      <c r="P9" s="17">
        <v>232</v>
      </c>
      <c r="Q9" s="5">
        <v>366.9</v>
      </c>
      <c r="R9" s="17">
        <v>366.9</v>
      </c>
      <c r="S9" s="17">
        <v>103.5</v>
      </c>
      <c r="T9" s="9">
        <v>0</v>
      </c>
    </row>
    <row r="10" spans="1:20" s="1" customFormat="1" ht="12.75" customHeight="1" x14ac:dyDescent="0.2">
      <c r="A10" s="4021"/>
      <c r="B10" s="3991"/>
      <c r="C10" s="4049"/>
      <c r="D10" s="242" t="s">
        <v>111</v>
      </c>
      <c r="E10" s="50">
        <v>186.39999999999998</v>
      </c>
      <c r="F10" s="17">
        <v>175.29999999999998</v>
      </c>
      <c r="G10" s="17">
        <v>0</v>
      </c>
      <c r="H10" s="9">
        <v>11.1</v>
      </c>
      <c r="I10" s="5">
        <v>746.2</v>
      </c>
      <c r="J10" s="17">
        <v>350.4</v>
      </c>
      <c r="K10" s="17">
        <v>2.8</v>
      </c>
      <c r="L10" s="9">
        <v>395.8</v>
      </c>
      <c r="M10" s="5">
        <v>0</v>
      </c>
      <c r="N10" s="17">
        <v>0</v>
      </c>
      <c r="O10" s="17">
        <v>0</v>
      </c>
      <c r="P10" s="9">
        <v>0</v>
      </c>
      <c r="Q10" s="5">
        <v>0</v>
      </c>
      <c r="R10" s="17">
        <v>0</v>
      </c>
      <c r="S10" s="17">
        <v>0</v>
      </c>
      <c r="T10" s="9">
        <v>0</v>
      </c>
    </row>
    <row r="11" spans="1:20" s="1" customFormat="1" ht="12.75" customHeight="1" x14ac:dyDescent="0.2">
      <c r="A11" s="4021"/>
      <c r="B11" s="3991"/>
      <c r="C11" s="4049"/>
      <c r="D11" s="242" t="s">
        <v>112</v>
      </c>
      <c r="E11" s="50">
        <v>1.2</v>
      </c>
      <c r="F11" s="17">
        <v>1.2</v>
      </c>
      <c r="G11" s="17">
        <v>0</v>
      </c>
      <c r="H11" s="9">
        <v>0</v>
      </c>
      <c r="I11" s="5">
        <v>46</v>
      </c>
      <c r="J11" s="17">
        <v>10.3</v>
      </c>
      <c r="K11" s="17">
        <v>0.3</v>
      </c>
      <c r="L11" s="9">
        <v>35.700000000000003</v>
      </c>
      <c r="M11" s="5">
        <v>0</v>
      </c>
      <c r="N11" s="17">
        <v>0</v>
      </c>
      <c r="O11" s="17">
        <v>0</v>
      </c>
      <c r="P11" s="9">
        <v>0</v>
      </c>
      <c r="Q11" s="5">
        <v>0</v>
      </c>
      <c r="R11" s="17">
        <v>0</v>
      </c>
      <c r="S11" s="17">
        <v>0</v>
      </c>
      <c r="T11" s="9">
        <v>0</v>
      </c>
    </row>
    <row r="12" spans="1:20" s="1" customFormat="1" ht="12.75" customHeight="1" x14ac:dyDescent="0.2">
      <c r="A12" s="4021"/>
      <c r="B12" s="3991"/>
      <c r="C12" s="4049"/>
      <c r="D12" s="242" t="s">
        <v>28</v>
      </c>
      <c r="E12" s="50">
        <v>14451.199999999999</v>
      </c>
      <c r="F12" s="17">
        <v>14444.9</v>
      </c>
      <c r="G12" s="17">
        <v>13665.800000000001</v>
      </c>
      <c r="H12" s="9">
        <v>6.3</v>
      </c>
      <c r="I12" s="5">
        <v>17270.8</v>
      </c>
      <c r="J12" s="17">
        <v>17270.8</v>
      </c>
      <c r="K12" s="17">
        <v>15941.599999999999</v>
      </c>
      <c r="L12" s="9">
        <v>0</v>
      </c>
      <c r="M12" s="5">
        <v>17270.8</v>
      </c>
      <c r="N12" s="17">
        <v>17270.8</v>
      </c>
      <c r="O12" s="17">
        <v>15989.000000000002</v>
      </c>
      <c r="P12" s="9">
        <v>0</v>
      </c>
      <c r="Q12" s="5">
        <v>17270.8</v>
      </c>
      <c r="R12" s="17">
        <v>17270.8</v>
      </c>
      <c r="S12" s="17">
        <v>15989.000000000002</v>
      </c>
      <c r="T12" s="9">
        <v>0</v>
      </c>
    </row>
    <row r="13" spans="1:20" s="1" customFormat="1" ht="12.75" customHeight="1" x14ac:dyDescent="0.2">
      <c r="A13" s="4021"/>
      <c r="B13" s="3991"/>
      <c r="C13" s="4049"/>
      <c r="D13" s="242" t="s">
        <v>29</v>
      </c>
      <c r="E13" s="50">
        <v>155.60000000000002</v>
      </c>
      <c r="F13" s="17">
        <v>128.30000000000001</v>
      </c>
      <c r="G13" s="17">
        <v>0</v>
      </c>
      <c r="H13" s="9">
        <v>27.3</v>
      </c>
      <c r="I13" s="5">
        <v>0</v>
      </c>
      <c r="J13" s="17">
        <v>0</v>
      </c>
      <c r="K13" s="17">
        <v>0</v>
      </c>
      <c r="L13" s="9">
        <v>0</v>
      </c>
      <c r="M13" s="5">
        <v>0</v>
      </c>
      <c r="N13" s="17">
        <v>0</v>
      </c>
      <c r="O13" s="17">
        <v>0</v>
      </c>
      <c r="P13" s="9">
        <v>0</v>
      </c>
      <c r="Q13" s="5">
        <v>0</v>
      </c>
      <c r="R13" s="17">
        <v>0</v>
      </c>
      <c r="S13" s="17">
        <v>0</v>
      </c>
      <c r="T13" s="9">
        <v>0</v>
      </c>
    </row>
    <row r="14" spans="1:20" s="1" customFormat="1" ht="12.75" customHeight="1" x14ac:dyDescent="0.2">
      <c r="A14" s="4021"/>
      <c r="B14" s="3991"/>
      <c r="C14" s="4049"/>
      <c r="D14" s="242" t="s">
        <v>34</v>
      </c>
      <c r="E14" s="50">
        <v>1003.8000000000001</v>
      </c>
      <c r="F14" s="17">
        <v>989.40000000000009</v>
      </c>
      <c r="G14" s="17">
        <v>141.49999999999997</v>
      </c>
      <c r="H14" s="9">
        <v>14.399999999999999</v>
      </c>
      <c r="I14" s="5">
        <v>1464.0000000000002</v>
      </c>
      <c r="J14" s="17">
        <v>1455.0000000000002</v>
      </c>
      <c r="K14" s="17">
        <v>250.5</v>
      </c>
      <c r="L14" s="9">
        <v>9</v>
      </c>
      <c r="M14" s="5">
        <v>1454.3000000000002</v>
      </c>
      <c r="N14" s="17">
        <v>1455.0000000000002</v>
      </c>
      <c r="O14" s="17">
        <v>250.5</v>
      </c>
      <c r="P14" s="9">
        <v>0</v>
      </c>
      <c r="Q14" s="5">
        <v>1455.0000000000002</v>
      </c>
      <c r="R14" s="17">
        <v>1455.0000000000002</v>
      </c>
      <c r="S14" s="17">
        <v>250.5</v>
      </c>
      <c r="T14" s="9">
        <v>0</v>
      </c>
    </row>
    <row r="15" spans="1:20" s="1" customFormat="1" ht="12.75" customHeight="1" x14ac:dyDescent="0.2">
      <c r="A15" s="4021"/>
      <c r="B15" s="3991"/>
      <c r="C15" s="4049"/>
      <c r="D15" s="242" t="s">
        <v>31</v>
      </c>
      <c r="E15" s="50">
        <v>102.80000000000001</v>
      </c>
      <c r="F15" s="17">
        <v>102.80000000000001</v>
      </c>
      <c r="G15" s="17">
        <v>101.7</v>
      </c>
      <c r="H15" s="9">
        <v>0</v>
      </c>
      <c r="I15" s="5">
        <v>0</v>
      </c>
      <c r="J15" s="17">
        <v>0</v>
      </c>
      <c r="K15" s="17">
        <v>0</v>
      </c>
      <c r="L15" s="17">
        <v>0</v>
      </c>
      <c r="M15" s="5">
        <v>0</v>
      </c>
      <c r="N15" s="17">
        <v>0</v>
      </c>
      <c r="O15" s="17">
        <v>0</v>
      </c>
      <c r="P15" s="17">
        <v>0</v>
      </c>
      <c r="Q15" s="5">
        <v>0</v>
      </c>
      <c r="R15" s="17">
        <v>0</v>
      </c>
      <c r="S15" s="17">
        <v>0</v>
      </c>
      <c r="T15" s="9">
        <v>0</v>
      </c>
    </row>
    <row r="16" spans="1:20" s="1" customFormat="1" ht="12.75" customHeight="1" x14ac:dyDescent="0.2">
      <c r="A16" s="4021"/>
      <c r="B16" s="3991"/>
      <c r="C16" s="4049"/>
      <c r="D16" s="242" t="s">
        <v>32</v>
      </c>
      <c r="E16" s="50">
        <v>1161.9999999999993</v>
      </c>
      <c r="F16" s="17">
        <v>513</v>
      </c>
      <c r="G16" s="17">
        <v>0</v>
      </c>
      <c r="H16" s="17">
        <v>648.99999999999932</v>
      </c>
      <c r="I16" s="5">
        <v>2380</v>
      </c>
      <c r="J16" s="17">
        <v>2380</v>
      </c>
      <c r="K16" s="17">
        <v>0</v>
      </c>
      <c r="L16" s="17">
        <v>0</v>
      </c>
      <c r="M16" s="5"/>
      <c r="N16" s="17">
        <v>0</v>
      </c>
      <c r="O16" s="17">
        <v>0</v>
      </c>
      <c r="P16" s="17">
        <v>0</v>
      </c>
      <c r="Q16" s="5"/>
      <c r="R16" s="17">
        <v>0</v>
      </c>
      <c r="S16" s="17">
        <v>0</v>
      </c>
      <c r="T16" s="9">
        <v>0</v>
      </c>
    </row>
    <row r="17" spans="1:20" s="1" customFormat="1" ht="12.75" customHeight="1" x14ac:dyDescent="0.2">
      <c r="A17" s="4021"/>
      <c r="B17" s="3991"/>
      <c r="C17" s="4049"/>
      <c r="D17" s="242" t="s">
        <v>192</v>
      </c>
      <c r="E17" s="50">
        <v>434</v>
      </c>
      <c r="F17" s="17">
        <v>0</v>
      </c>
      <c r="G17" s="17">
        <v>0</v>
      </c>
      <c r="H17" s="9">
        <v>434</v>
      </c>
      <c r="I17" s="5">
        <v>350</v>
      </c>
      <c r="J17" s="17">
        <v>0</v>
      </c>
      <c r="K17" s="17">
        <v>0</v>
      </c>
      <c r="L17" s="9">
        <v>350</v>
      </c>
      <c r="M17" s="5">
        <v>0</v>
      </c>
      <c r="N17" s="17">
        <v>0</v>
      </c>
      <c r="O17" s="17">
        <v>0</v>
      </c>
      <c r="P17" s="9">
        <v>0</v>
      </c>
      <c r="Q17" s="5">
        <v>0</v>
      </c>
      <c r="R17" s="17">
        <v>0</v>
      </c>
      <c r="S17" s="17">
        <v>0</v>
      </c>
      <c r="T17" s="9">
        <v>0</v>
      </c>
    </row>
    <row r="18" spans="1:20" s="1" customFormat="1" ht="12.75" customHeight="1" x14ac:dyDescent="0.2">
      <c r="A18" s="4021"/>
      <c r="B18" s="3991"/>
      <c r="C18" s="4049"/>
      <c r="D18" s="242" t="s">
        <v>99</v>
      </c>
      <c r="E18" s="50">
        <v>508.1</v>
      </c>
      <c r="F18" s="17">
        <v>220</v>
      </c>
      <c r="G18" s="17">
        <v>0</v>
      </c>
      <c r="H18" s="9">
        <v>288.10000000000002</v>
      </c>
      <c r="I18" s="5">
        <v>0</v>
      </c>
      <c r="J18" s="17">
        <v>0</v>
      </c>
      <c r="K18" s="17">
        <v>0</v>
      </c>
      <c r="L18" s="9">
        <v>0</v>
      </c>
      <c r="M18" s="5">
        <v>0</v>
      </c>
      <c r="N18" s="17">
        <v>0</v>
      </c>
      <c r="O18" s="17">
        <v>0</v>
      </c>
      <c r="P18" s="9">
        <v>0</v>
      </c>
      <c r="Q18" s="5">
        <v>0</v>
      </c>
      <c r="R18" s="17">
        <v>0</v>
      </c>
      <c r="S18" s="17">
        <v>0</v>
      </c>
      <c r="T18" s="9">
        <v>0</v>
      </c>
    </row>
    <row r="19" spans="1:20" s="1" customFormat="1" ht="12.75" customHeight="1" x14ac:dyDescent="0.2">
      <c r="A19" s="4021"/>
      <c r="B19" s="3991"/>
      <c r="C19" s="2321"/>
      <c r="D19" s="243" t="s">
        <v>116</v>
      </c>
      <c r="E19" s="1512">
        <v>232.8</v>
      </c>
      <c r="F19" s="33">
        <v>0</v>
      </c>
      <c r="G19" s="33">
        <v>0</v>
      </c>
      <c r="H19" s="34">
        <v>232.8</v>
      </c>
      <c r="I19" s="35">
        <v>287.7</v>
      </c>
      <c r="J19" s="33">
        <v>0</v>
      </c>
      <c r="K19" s="33">
        <v>0</v>
      </c>
      <c r="L19" s="34">
        <v>287.7</v>
      </c>
      <c r="M19" s="35"/>
      <c r="N19" s="33">
        <v>0</v>
      </c>
      <c r="O19" s="33">
        <v>0</v>
      </c>
      <c r="P19" s="34">
        <v>0</v>
      </c>
      <c r="Q19" s="35"/>
      <c r="R19" s="33">
        <v>0</v>
      </c>
      <c r="S19" s="33">
        <v>0</v>
      </c>
      <c r="T19" s="34">
        <v>0</v>
      </c>
    </row>
    <row r="20" spans="1:20" s="1" customFormat="1" ht="12.75" customHeight="1" thickBot="1" x14ac:dyDescent="0.25">
      <c r="A20" s="4022"/>
      <c r="B20" s="3992"/>
      <c r="C20" s="2321"/>
      <c r="D20" s="244" t="s">
        <v>202</v>
      </c>
      <c r="E20" s="245">
        <v>138</v>
      </c>
      <c r="F20" s="32">
        <v>0</v>
      </c>
      <c r="G20" s="32">
        <v>0</v>
      </c>
      <c r="H20" s="31">
        <v>138</v>
      </c>
      <c r="I20" s="30">
        <v>0</v>
      </c>
      <c r="J20" s="32">
        <v>0</v>
      </c>
      <c r="K20" s="32">
        <v>0</v>
      </c>
      <c r="L20" s="31">
        <v>0</v>
      </c>
      <c r="M20" s="30">
        <v>0</v>
      </c>
      <c r="N20" s="32">
        <v>0</v>
      </c>
      <c r="O20" s="32">
        <v>0</v>
      </c>
      <c r="P20" s="31">
        <v>0</v>
      </c>
      <c r="Q20" s="30">
        <v>0</v>
      </c>
      <c r="R20" s="32">
        <v>0</v>
      </c>
      <c r="S20" s="32">
        <v>0</v>
      </c>
      <c r="T20" s="31">
        <v>0</v>
      </c>
    </row>
    <row r="21" spans="1:20" s="173" customFormat="1" ht="12" thickBot="1" x14ac:dyDescent="0.25">
      <c r="A21" s="4037" t="s">
        <v>208</v>
      </c>
      <c r="B21" s="4017"/>
      <c r="C21" s="4017"/>
      <c r="D21" s="4079"/>
      <c r="E21" s="246">
        <f t="shared" ref="E21:T21" si="0">SUM(E8:E20)</f>
        <v>34760.999999999993</v>
      </c>
      <c r="F21" s="247">
        <f t="shared" si="0"/>
        <v>31962.999999999993</v>
      </c>
      <c r="G21" s="247">
        <f t="shared" si="0"/>
        <v>24712.900000000005</v>
      </c>
      <c r="H21" s="248">
        <f t="shared" si="0"/>
        <v>2797.9999999999995</v>
      </c>
      <c r="I21" s="249">
        <f t="shared" si="0"/>
        <v>40970.300000000003</v>
      </c>
      <c r="J21" s="247">
        <f t="shared" si="0"/>
        <v>38628.900000000009</v>
      </c>
      <c r="K21" s="247">
        <f t="shared" si="0"/>
        <v>29158.699999999997</v>
      </c>
      <c r="L21" s="250">
        <f t="shared" si="0"/>
        <v>2341.3999999999996</v>
      </c>
      <c r="M21" s="246">
        <f t="shared" si="0"/>
        <v>42488.400000000009</v>
      </c>
      <c r="N21" s="247">
        <f t="shared" si="0"/>
        <v>38149.100000000006</v>
      </c>
      <c r="O21" s="247">
        <f t="shared" si="0"/>
        <v>29088.799999999999</v>
      </c>
      <c r="P21" s="248">
        <f t="shared" si="0"/>
        <v>4340</v>
      </c>
      <c r="Q21" s="249">
        <f t="shared" si="0"/>
        <v>43194.100000000006</v>
      </c>
      <c r="R21" s="247">
        <f t="shared" si="0"/>
        <v>38149.100000000006</v>
      </c>
      <c r="S21" s="247">
        <f t="shared" si="0"/>
        <v>29088.799999999999</v>
      </c>
      <c r="T21" s="250">
        <f t="shared" si="0"/>
        <v>5045</v>
      </c>
    </row>
    <row r="22" spans="1:20" s="1" customFormat="1" ht="12.75" customHeight="1" thickBot="1" x14ac:dyDescent="0.25">
      <c r="A22" s="4038">
        <v>1</v>
      </c>
      <c r="B22" s="4077">
        <v>2</v>
      </c>
      <c r="C22" s="4026" t="s">
        <v>1306</v>
      </c>
      <c r="D22" s="240" t="s">
        <v>30</v>
      </c>
      <c r="E22" s="241">
        <v>446.6</v>
      </c>
      <c r="F22" s="22">
        <v>209.9</v>
      </c>
      <c r="G22" s="22">
        <v>78.8</v>
      </c>
      <c r="H22" s="22">
        <v>236.7</v>
      </c>
      <c r="I22" s="251">
        <v>1310.9</v>
      </c>
      <c r="J22" s="22">
        <v>355.4</v>
      </c>
      <c r="K22" s="22">
        <v>87</v>
      </c>
      <c r="L22" s="22">
        <v>955.5</v>
      </c>
      <c r="M22" s="21">
        <v>683.9</v>
      </c>
      <c r="N22" s="22">
        <v>276.89999999999998</v>
      </c>
      <c r="O22" s="22">
        <v>86.6</v>
      </c>
      <c r="P22" s="22">
        <v>407</v>
      </c>
      <c r="Q22" s="21">
        <v>259.89999999999998</v>
      </c>
      <c r="R22" s="22">
        <v>214.9</v>
      </c>
      <c r="S22" s="22">
        <v>86.6</v>
      </c>
      <c r="T22" s="29">
        <v>45</v>
      </c>
    </row>
    <row r="23" spans="1:20" s="1" customFormat="1" ht="12.75" customHeight="1" thickBot="1" x14ac:dyDescent="0.25">
      <c r="A23" s="4038"/>
      <c r="B23" s="4078"/>
      <c r="C23" s="4027"/>
      <c r="D23" s="242" t="s">
        <v>34</v>
      </c>
      <c r="E23" s="50">
        <v>85</v>
      </c>
      <c r="F23" s="17">
        <v>85</v>
      </c>
      <c r="G23" s="17">
        <v>5</v>
      </c>
      <c r="H23" s="9">
        <v>0</v>
      </c>
      <c r="I23" s="5">
        <v>100</v>
      </c>
      <c r="J23" s="17">
        <v>100</v>
      </c>
      <c r="K23" s="17">
        <v>5</v>
      </c>
      <c r="L23" s="9">
        <v>0</v>
      </c>
      <c r="M23" s="5">
        <v>100</v>
      </c>
      <c r="N23" s="17">
        <v>100</v>
      </c>
      <c r="O23" s="17">
        <v>5</v>
      </c>
      <c r="P23" s="17">
        <v>0</v>
      </c>
      <c r="Q23" s="5">
        <v>100</v>
      </c>
      <c r="R23" s="17">
        <v>100</v>
      </c>
      <c r="S23" s="17">
        <v>5</v>
      </c>
      <c r="T23" s="9">
        <v>0</v>
      </c>
    </row>
    <row r="24" spans="1:20" s="1" customFormat="1" ht="12.75" customHeight="1" thickBot="1" x14ac:dyDescent="0.25">
      <c r="A24" s="4038"/>
      <c r="B24" s="4078"/>
      <c r="C24" s="4027"/>
      <c r="D24" s="242" t="s">
        <v>33</v>
      </c>
      <c r="E24" s="50">
        <v>456</v>
      </c>
      <c r="F24" s="17">
        <v>456</v>
      </c>
      <c r="G24" s="17">
        <v>0</v>
      </c>
      <c r="H24" s="9">
        <v>0</v>
      </c>
      <c r="I24" s="5">
        <v>458</v>
      </c>
      <c r="J24" s="17">
        <v>458</v>
      </c>
      <c r="K24" s="17">
        <v>3</v>
      </c>
      <c r="L24" s="17">
        <v>0</v>
      </c>
      <c r="M24" s="5">
        <v>3458</v>
      </c>
      <c r="N24" s="17">
        <v>458</v>
      </c>
      <c r="O24" s="17">
        <v>0</v>
      </c>
      <c r="P24" s="17">
        <v>3000</v>
      </c>
      <c r="Q24" s="5">
        <v>458</v>
      </c>
      <c r="R24" s="17">
        <v>458</v>
      </c>
      <c r="S24" s="17">
        <v>0</v>
      </c>
      <c r="T24" s="9">
        <v>0</v>
      </c>
    </row>
    <row r="25" spans="1:20" s="1" customFormat="1" ht="12.75" customHeight="1" thickBot="1" x14ac:dyDescent="0.25">
      <c r="A25" s="4038"/>
      <c r="B25" s="4078"/>
      <c r="C25" s="4027"/>
      <c r="D25" s="242" t="s">
        <v>31</v>
      </c>
      <c r="E25" s="50"/>
      <c r="F25" s="17"/>
      <c r="G25" s="17"/>
      <c r="H25" s="36"/>
      <c r="I25" s="5"/>
      <c r="J25" s="17"/>
      <c r="K25" s="17"/>
      <c r="L25" s="17"/>
      <c r="M25" s="5"/>
      <c r="N25" s="17"/>
      <c r="O25" s="17"/>
      <c r="P25" s="17"/>
      <c r="Q25" s="5"/>
      <c r="R25" s="17"/>
      <c r="S25" s="17"/>
      <c r="T25" s="9"/>
    </row>
    <row r="26" spans="1:20" s="1" customFormat="1" ht="12.75" customHeight="1" thickBot="1" x14ac:dyDescent="0.25">
      <c r="A26" s="4038"/>
      <c r="B26" s="4078"/>
      <c r="C26" s="4027"/>
      <c r="D26" s="242" t="s">
        <v>111</v>
      </c>
      <c r="E26" s="50">
        <v>81.5</v>
      </c>
      <c r="F26" s="17">
        <v>18.600000000000001</v>
      </c>
      <c r="G26" s="17">
        <v>4.4000000000000004</v>
      </c>
      <c r="H26" s="36">
        <v>62.9</v>
      </c>
      <c r="I26" s="5">
        <v>243.4</v>
      </c>
      <c r="J26" s="17">
        <v>16</v>
      </c>
      <c r="K26" s="17">
        <v>5.6</v>
      </c>
      <c r="L26" s="17">
        <v>227.4</v>
      </c>
      <c r="M26" s="5">
        <v>0</v>
      </c>
      <c r="N26" s="17">
        <v>0</v>
      </c>
      <c r="O26" s="17">
        <v>0</v>
      </c>
      <c r="P26" s="17">
        <v>0</v>
      </c>
      <c r="Q26" s="5">
        <v>0</v>
      </c>
      <c r="R26" s="17">
        <v>0</v>
      </c>
      <c r="S26" s="17">
        <v>0</v>
      </c>
      <c r="T26" s="9">
        <v>0</v>
      </c>
    </row>
    <row r="27" spans="1:20" s="1" customFormat="1" ht="12.75" customHeight="1" thickBot="1" x14ac:dyDescent="0.25">
      <c r="A27" s="4038"/>
      <c r="B27" s="4078"/>
      <c r="C27" s="4027"/>
      <c r="D27" s="242" t="s">
        <v>244</v>
      </c>
      <c r="E27" s="50">
        <v>258.3</v>
      </c>
      <c r="F27" s="17">
        <v>0</v>
      </c>
      <c r="G27" s="17">
        <v>0</v>
      </c>
      <c r="H27" s="17">
        <v>258.3</v>
      </c>
      <c r="I27" s="5">
        <v>70</v>
      </c>
      <c r="J27" s="17">
        <v>0</v>
      </c>
      <c r="K27" s="17">
        <v>0</v>
      </c>
      <c r="L27" s="17">
        <v>70</v>
      </c>
      <c r="M27" s="5">
        <v>0</v>
      </c>
      <c r="N27" s="17">
        <v>0</v>
      </c>
      <c r="O27" s="17">
        <v>0</v>
      </c>
      <c r="P27" s="17">
        <v>0</v>
      </c>
      <c r="Q27" s="5">
        <v>0</v>
      </c>
      <c r="R27" s="17">
        <v>0</v>
      </c>
      <c r="S27" s="17">
        <v>0</v>
      </c>
      <c r="T27" s="9">
        <v>0</v>
      </c>
    </row>
    <row r="28" spans="1:20" s="1" customFormat="1" ht="12.75" customHeight="1" thickBot="1" x14ac:dyDescent="0.25">
      <c r="A28" s="4038"/>
      <c r="B28" s="4078"/>
      <c r="C28" s="4027"/>
      <c r="D28" s="242" t="s">
        <v>202</v>
      </c>
      <c r="E28" s="50">
        <v>0</v>
      </c>
      <c r="F28" s="17">
        <v>0</v>
      </c>
      <c r="G28" s="17">
        <v>0</v>
      </c>
      <c r="H28" s="36">
        <v>0</v>
      </c>
      <c r="I28" s="5">
        <v>33.299999999999997</v>
      </c>
      <c r="J28" s="17">
        <v>0</v>
      </c>
      <c r="K28" s="17">
        <v>0</v>
      </c>
      <c r="L28" s="36">
        <v>33.299999999999997</v>
      </c>
      <c r="M28" s="5">
        <v>0</v>
      </c>
      <c r="N28" s="17">
        <v>0</v>
      </c>
      <c r="O28" s="17">
        <v>0</v>
      </c>
      <c r="P28" s="17">
        <v>0</v>
      </c>
      <c r="Q28" s="5">
        <v>0</v>
      </c>
      <c r="R28" s="17">
        <v>0</v>
      </c>
      <c r="S28" s="17">
        <v>0</v>
      </c>
      <c r="T28" s="9">
        <v>0</v>
      </c>
    </row>
    <row r="29" spans="1:20" s="1" customFormat="1" ht="12.75" customHeight="1" thickBot="1" x14ac:dyDescent="0.25">
      <c r="A29" s="4038"/>
      <c r="B29" s="4078"/>
      <c r="C29" s="4027"/>
      <c r="D29" s="242" t="s">
        <v>99</v>
      </c>
      <c r="E29" s="50">
        <v>11.599999999999998</v>
      </c>
      <c r="F29" s="17">
        <v>2.7999999999999972</v>
      </c>
      <c r="G29" s="17">
        <v>0</v>
      </c>
      <c r="H29" s="36">
        <v>8.8000000000000007</v>
      </c>
      <c r="I29" s="5">
        <v>0</v>
      </c>
      <c r="J29" s="17">
        <v>0</v>
      </c>
      <c r="K29" s="17">
        <v>0</v>
      </c>
      <c r="L29" s="36">
        <v>0</v>
      </c>
      <c r="M29" s="5">
        <v>0</v>
      </c>
      <c r="N29" s="17">
        <v>0</v>
      </c>
      <c r="O29" s="17">
        <v>0</v>
      </c>
      <c r="P29" s="17">
        <v>0</v>
      </c>
      <c r="Q29" s="5">
        <v>0</v>
      </c>
      <c r="R29" s="17">
        <v>0</v>
      </c>
      <c r="S29" s="17">
        <v>0</v>
      </c>
      <c r="T29" s="9">
        <v>0</v>
      </c>
    </row>
    <row r="30" spans="1:20" s="1" customFormat="1" ht="12.75" customHeight="1" thickBot="1" x14ac:dyDescent="0.25">
      <c r="A30" s="4038"/>
      <c r="B30" s="4078"/>
      <c r="C30" s="4027"/>
      <c r="D30" s="242" t="s">
        <v>112</v>
      </c>
      <c r="E30" s="50">
        <v>2.4</v>
      </c>
      <c r="F30" s="17">
        <v>0</v>
      </c>
      <c r="G30" s="17">
        <v>0</v>
      </c>
      <c r="H30" s="9">
        <v>2.4</v>
      </c>
      <c r="I30" s="5">
        <v>37.1</v>
      </c>
      <c r="J30" s="17">
        <v>0</v>
      </c>
      <c r="K30" s="17">
        <v>0</v>
      </c>
      <c r="L30" s="9">
        <v>37.1</v>
      </c>
      <c r="M30" s="5">
        <v>0</v>
      </c>
      <c r="N30" s="17">
        <v>0</v>
      </c>
      <c r="O30" s="17">
        <v>0</v>
      </c>
      <c r="P30" s="17">
        <v>0</v>
      </c>
      <c r="Q30" s="5">
        <v>0</v>
      </c>
      <c r="R30" s="17">
        <v>0</v>
      </c>
      <c r="S30" s="17">
        <v>0</v>
      </c>
      <c r="T30" s="9">
        <v>0</v>
      </c>
    </row>
    <row r="31" spans="1:20" s="173" customFormat="1" ht="12" thickBot="1" x14ac:dyDescent="0.25">
      <c r="A31" s="4045" t="s">
        <v>208</v>
      </c>
      <c r="B31" s="4046"/>
      <c r="C31" s="4046"/>
      <c r="D31" s="4076"/>
      <c r="E31" s="252">
        <f>SUM(E22:E30)</f>
        <v>1341.3999999999999</v>
      </c>
      <c r="F31" s="253">
        <f t="shared" ref="F31:T31" si="1">SUM(F22:F30)</f>
        <v>772.3</v>
      </c>
      <c r="G31" s="253">
        <f t="shared" si="1"/>
        <v>88.2</v>
      </c>
      <c r="H31" s="254">
        <f t="shared" si="1"/>
        <v>569.09999999999991</v>
      </c>
      <c r="I31" s="255">
        <f t="shared" si="1"/>
        <v>2252.7000000000003</v>
      </c>
      <c r="J31" s="256">
        <f t="shared" si="1"/>
        <v>929.4</v>
      </c>
      <c r="K31" s="256">
        <f t="shared" si="1"/>
        <v>100.6</v>
      </c>
      <c r="L31" s="257">
        <f t="shared" si="1"/>
        <v>1323.3</v>
      </c>
      <c r="M31" s="252">
        <f t="shared" si="1"/>
        <v>4241.8999999999996</v>
      </c>
      <c r="N31" s="253">
        <f t="shared" si="1"/>
        <v>834.9</v>
      </c>
      <c r="O31" s="253">
        <f t="shared" si="1"/>
        <v>91.6</v>
      </c>
      <c r="P31" s="254">
        <f t="shared" si="1"/>
        <v>3407</v>
      </c>
      <c r="Q31" s="255">
        <f t="shared" si="1"/>
        <v>817.9</v>
      </c>
      <c r="R31" s="256">
        <f t="shared" si="1"/>
        <v>772.9</v>
      </c>
      <c r="S31" s="256">
        <f t="shared" si="1"/>
        <v>91.6</v>
      </c>
      <c r="T31" s="257">
        <f t="shared" si="1"/>
        <v>45</v>
      </c>
    </row>
    <row r="32" spans="1:20" s="1" customFormat="1" ht="12.75" customHeight="1" thickBot="1" x14ac:dyDescent="0.25">
      <c r="A32" s="4038">
        <v>2</v>
      </c>
      <c r="B32" s="4023">
        <v>3</v>
      </c>
      <c r="C32" s="4026" t="s">
        <v>1307</v>
      </c>
      <c r="D32" s="240" t="s">
        <v>30</v>
      </c>
      <c r="E32" s="104">
        <v>1524.6</v>
      </c>
      <c r="F32" s="105">
        <v>1221.6999999999998</v>
      </c>
      <c r="G32" s="105">
        <v>690.09999999999991</v>
      </c>
      <c r="H32" s="105">
        <v>302.89999999999998</v>
      </c>
      <c r="I32" s="104">
        <v>3585.8</v>
      </c>
      <c r="J32" s="105">
        <v>1878.1</v>
      </c>
      <c r="K32" s="105">
        <v>863.7</v>
      </c>
      <c r="L32" s="105">
        <v>1707.7000000000003</v>
      </c>
      <c r="M32" s="104">
        <v>2519.1999999999998</v>
      </c>
      <c r="N32" s="105">
        <v>1579.1999999999998</v>
      </c>
      <c r="O32" s="105">
        <v>858.80000000000007</v>
      </c>
      <c r="P32" s="105">
        <v>940</v>
      </c>
      <c r="Q32" s="104">
        <v>1488.4999999999998</v>
      </c>
      <c r="R32" s="105">
        <v>1488.4999999999998</v>
      </c>
      <c r="S32" s="105">
        <v>863.30000000000007</v>
      </c>
      <c r="T32" s="258">
        <v>0</v>
      </c>
    </row>
    <row r="33" spans="1:20" s="1" customFormat="1" ht="12.75" customHeight="1" thickBot="1" x14ac:dyDescent="0.25">
      <c r="A33" s="4038"/>
      <c r="B33" s="4024"/>
      <c r="C33" s="4027"/>
      <c r="D33" s="242" t="s">
        <v>362</v>
      </c>
      <c r="E33" s="321">
        <v>293</v>
      </c>
      <c r="F33" s="322">
        <v>263.2</v>
      </c>
      <c r="G33" s="322">
        <v>0</v>
      </c>
      <c r="H33" s="322">
        <v>29.8</v>
      </c>
      <c r="I33" s="321">
        <v>347.1</v>
      </c>
      <c r="J33" s="322">
        <v>317.10000000000002</v>
      </c>
      <c r="K33" s="322">
        <v>0</v>
      </c>
      <c r="L33" s="322">
        <v>30</v>
      </c>
      <c r="M33" s="321">
        <v>280</v>
      </c>
      <c r="N33" s="322">
        <v>280</v>
      </c>
      <c r="O33" s="322">
        <v>0</v>
      </c>
      <c r="P33" s="322">
        <v>0</v>
      </c>
      <c r="Q33" s="321">
        <v>280</v>
      </c>
      <c r="R33" s="322">
        <v>280</v>
      </c>
      <c r="S33" s="322">
        <v>0</v>
      </c>
      <c r="T33" s="323">
        <v>0</v>
      </c>
    </row>
    <row r="34" spans="1:20" s="1" customFormat="1" ht="12.75" customHeight="1" thickBot="1" x14ac:dyDescent="0.25">
      <c r="A34" s="4038"/>
      <c r="B34" s="4024"/>
      <c r="C34" s="4027"/>
      <c r="D34" s="242" t="s">
        <v>363</v>
      </c>
      <c r="E34" s="106">
        <v>52.6</v>
      </c>
      <c r="F34" s="107">
        <v>52.6</v>
      </c>
      <c r="G34" s="107">
        <v>0</v>
      </c>
      <c r="H34" s="107">
        <v>0</v>
      </c>
      <c r="I34" s="106">
        <v>65.400000000000006</v>
      </c>
      <c r="J34" s="107">
        <v>65.400000000000006</v>
      </c>
      <c r="K34" s="107">
        <v>0</v>
      </c>
      <c r="L34" s="107">
        <v>0</v>
      </c>
      <c r="M34" s="106">
        <v>0</v>
      </c>
      <c r="N34" s="107">
        <v>0</v>
      </c>
      <c r="O34" s="107">
        <v>0</v>
      </c>
      <c r="P34" s="107">
        <v>0</v>
      </c>
      <c r="Q34" s="106">
        <v>0</v>
      </c>
      <c r="R34" s="107">
        <v>0</v>
      </c>
      <c r="S34" s="107">
        <v>0</v>
      </c>
      <c r="T34" s="109">
        <v>0</v>
      </c>
    </row>
    <row r="35" spans="1:20" s="1" customFormat="1" ht="12.75" customHeight="1" thickBot="1" x14ac:dyDescent="0.25">
      <c r="A35" s="4038"/>
      <c r="B35" s="4024"/>
      <c r="C35" s="4027"/>
      <c r="D35" s="242" t="s">
        <v>111</v>
      </c>
      <c r="E35" s="106">
        <v>177.7</v>
      </c>
      <c r="F35" s="107">
        <v>12.600000000000001</v>
      </c>
      <c r="G35" s="107">
        <v>14.2</v>
      </c>
      <c r="H35" s="107">
        <v>165.1</v>
      </c>
      <c r="I35" s="106">
        <v>215.9</v>
      </c>
      <c r="J35" s="107">
        <v>0</v>
      </c>
      <c r="K35" s="107">
        <v>0</v>
      </c>
      <c r="L35" s="107">
        <v>215.9</v>
      </c>
      <c r="M35" s="106">
        <v>0</v>
      </c>
      <c r="N35" s="107">
        <v>0</v>
      </c>
      <c r="O35" s="107">
        <v>0</v>
      </c>
      <c r="P35" s="107">
        <v>0</v>
      </c>
      <c r="Q35" s="106">
        <v>0</v>
      </c>
      <c r="R35" s="107">
        <v>0</v>
      </c>
      <c r="S35" s="107">
        <v>0</v>
      </c>
      <c r="T35" s="109">
        <v>0</v>
      </c>
    </row>
    <row r="36" spans="1:20" s="1" customFormat="1" ht="12.75" customHeight="1" thickBot="1" x14ac:dyDescent="0.25">
      <c r="A36" s="4038"/>
      <c r="B36" s="4024"/>
      <c r="C36" s="4027"/>
      <c r="D36" s="242" t="s">
        <v>34</v>
      </c>
      <c r="E36" s="106">
        <v>6</v>
      </c>
      <c r="F36" s="107">
        <v>6</v>
      </c>
      <c r="G36" s="107">
        <v>0</v>
      </c>
      <c r="H36" s="107">
        <v>0</v>
      </c>
      <c r="I36" s="106">
        <v>10</v>
      </c>
      <c r="J36" s="107">
        <v>10</v>
      </c>
      <c r="K36" s="107">
        <v>0</v>
      </c>
      <c r="L36" s="107">
        <v>0</v>
      </c>
      <c r="M36" s="106">
        <v>10</v>
      </c>
      <c r="N36" s="107">
        <v>10</v>
      </c>
      <c r="O36" s="107">
        <v>0</v>
      </c>
      <c r="P36" s="107">
        <v>0</v>
      </c>
      <c r="Q36" s="106">
        <v>10</v>
      </c>
      <c r="R36" s="107">
        <v>10</v>
      </c>
      <c r="S36" s="107">
        <v>0</v>
      </c>
      <c r="T36" s="109">
        <v>0</v>
      </c>
    </row>
    <row r="37" spans="1:20" s="1" customFormat="1" ht="12.75" customHeight="1" thickBot="1" x14ac:dyDescent="0.25">
      <c r="A37" s="4038"/>
      <c r="B37" s="4024"/>
      <c r="C37" s="4027"/>
      <c r="D37" s="242" t="s">
        <v>33</v>
      </c>
      <c r="E37" s="106">
        <v>47.199999999999996</v>
      </c>
      <c r="F37" s="107">
        <v>34.799999999999997</v>
      </c>
      <c r="G37" s="107">
        <v>0</v>
      </c>
      <c r="H37" s="107">
        <v>12.399999999999999</v>
      </c>
      <c r="I37" s="106">
        <v>66</v>
      </c>
      <c r="J37" s="107">
        <v>52.1</v>
      </c>
      <c r="K37" s="107">
        <v>0</v>
      </c>
      <c r="L37" s="107">
        <v>13.9</v>
      </c>
      <c r="M37" s="106">
        <v>17.899999999999999</v>
      </c>
      <c r="N37" s="107">
        <v>17.899999999999999</v>
      </c>
      <c r="O37" s="107">
        <v>0</v>
      </c>
      <c r="P37" s="107">
        <v>0</v>
      </c>
      <c r="Q37" s="106">
        <v>0</v>
      </c>
      <c r="R37" s="107">
        <v>0</v>
      </c>
      <c r="S37" s="107">
        <v>0</v>
      </c>
      <c r="T37" s="109">
        <v>0</v>
      </c>
    </row>
    <row r="38" spans="1:20" s="1" customFormat="1" ht="12.75" customHeight="1" thickBot="1" x14ac:dyDescent="0.25">
      <c r="A38" s="4038"/>
      <c r="B38" s="4024"/>
      <c r="C38" s="4027"/>
      <c r="D38" s="243" t="s">
        <v>367</v>
      </c>
      <c r="E38" s="106">
        <v>2100</v>
      </c>
      <c r="F38" s="107">
        <v>2100</v>
      </c>
      <c r="G38" s="107">
        <v>0</v>
      </c>
      <c r="H38" s="107">
        <v>0</v>
      </c>
      <c r="I38" s="110">
        <v>2500</v>
      </c>
      <c r="J38" s="107">
        <v>2060</v>
      </c>
      <c r="K38" s="107">
        <v>0</v>
      </c>
      <c r="L38" s="107">
        <v>440</v>
      </c>
      <c r="M38" s="106">
        <v>2500</v>
      </c>
      <c r="N38" s="107">
        <v>2500</v>
      </c>
      <c r="O38" s="107">
        <v>0</v>
      </c>
      <c r="P38" s="107">
        <v>0</v>
      </c>
      <c r="Q38" s="106">
        <v>2500</v>
      </c>
      <c r="R38" s="107">
        <v>2500</v>
      </c>
      <c r="S38" s="107">
        <v>0</v>
      </c>
      <c r="T38" s="109">
        <v>0</v>
      </c>
    </row>
    <row r="39" spans="1:20" s="1" customFormat="1" ht="12.75" customHeight="1" thickBot="1" x14ac:dyDescent="0.25">
      <c r="A39" s="4038"/>
      <c r="B39" s="4024"/>
      <c r="C39" s="4027"/>
      <c r="D39" s="243" t="s">
        <v>376</v>
      </c>
      <c r="E39" s="106"/>
      <c r="F39" s="107">
        <v>0</v>
      </c>
      <c r="G39" s="107">
        <v>0</v>
      </c>
      <c r="H39" s="107">
        <v>0</v>
      </c>
      <c r="I39" s="110">
        <v>403.8</v>
      </c>
      <c r="J39" s="107">
        <v>0</v>
      </c>
      <c r="K39" s="107">
        <v>0</v>
      </c>
      <c r="L39" s="107">
        <v>403.8</v>
      </c>
      <c r="M39" s="106"/>
      <c r="N39" s="107">
        <v>0</v>
      </c>
      <c r="O39" s="107">
        <v>0</v>
      </c>
      <c r="P39" s="107">
        <v>0</v>
      </c>
      <c r="Q39" s="106"/>
      <c r="R39" s="107">
        <v>0</v>
      </c>
      <c r="S39" s="107">
        <v>0</v>
      </c>
      <c r="T39" s="109">
        <v>0</v>
      </c>
    </row>
    <row r="40" spans="1:20" s="1" customFormat="1" ht="12.75" customHeight="1" thickBot="1" x14ac:dyDescent="0.25">
      <c r="A40" s="4038"/>
      <c r="B40" s="4024"/>
      <c r="C40" s="4027"/>
      <c r="D40" s="243" t="s">
        <v>116</v>
      </c>
      <c r="E40" s="106">
        <v>394.3</v>
      </c>
      <c r="F40" s="107">
        <v>0</v>
      </c>
      <c r="G40" s="107">
        <v>0</v>
      </c>
      <c r="H40" s="107">
        <v>394.3</v>
      </c>
      <c r="I40" s="106">
        <v>300</v>
      </c>
      <c r="J40" s="107">
        <v>0</v>
      </c>
      <c r="K40" s="107">
        <v>0</v>
      </c>
      <c r="L40" s="107">
        <v>300</v>
      </c>
      <c r="M40" s="106">
        <v>0</v>
      </c>
      <c r="N40" s="107">
        <v>0</v>
      </c>
      <c r="O40" s="107">
        <v>0</v>
      </c>
      <c r="P40" s="107">
        <v>0</v>
      </c>
      <c r="Q40" s="106">
        <v>0</v>
      </c>
      <c r="R40" s="107">
        <v>0</v>
      </c>
      <c r="S40" s="107">
        <v>0</v>
      </c>
      <c r="T40" s="109">
        <v>0</v>
      </c>
    </row>
    <row r="41" spans="1:20" s="1" customFormat="1" ht="12.75" customHeight="1" thickBot="1" x14ac:dyDescent="0.25">
      <c r="A41" s="4038"/>
      <c r="B41" s="4024"/>
      <c r="C41" s="4027"/>
      <c r="D41" s="243" t="s">
        <v>32</v>
      </c>
      <c r="E41" s="106">
        <v>230.70000000000002</v>
      </c>
      <c r="F41" s="107">
        <v>0</v>
      </c>
      <c r="G41" s="107">
        <v>0</v>
      </c>
      <c r="H41" s="108">
        <v>230.70000000000002</v>
      </c>
      <c r="I41" s="106">
        <v>0</v>
      </c>
      <c r="J41" s="107">
        <v>0</v>
      </c>
      <c r="K41" s="107">
        <v>0</v>
      </c>
      <c r="L41" s="108">
        <v>0</v>
      </c>
      <c r="M41" s="106">
        <v>0</v>
      </c>
      <c r="N41" s="107">
        <v>0</v>
      </c>
      <c r="O41" s="107">
        <v>0</v>
      </c>
      <c r="P41" s="108">
        <v>0</v>
      </c>
      <c r="Q41" s="106">
        <v>0</v>
      </c>
      <c r="R41" s="107">
        <v>0</v>
      </c>
      <c r="S41" s="107">
        <v>0</v>
      </c>
      <c r="T41" s="109">
        <v>0</v>
      </c>
    </row>
    <row r="42" spans="1:20" s="1" customFormat="1" ht="12.75" customHeight="1" thickBot="1" x14ac:dyDescent="0.25">
      <c r="A42" s="4038"/>
      <c r="B42" s="4024"/>
      <c r="C42" s="4027"/>
      <c r="D42" s="243" t="s">
        <v>244</v>
      </c>
      <c r="E42" s="106">
        <v>339</v>
      </c>
      <c r="F42" s="107">
        <v>0</v>
      </c>
      <c r="G42" s="107">
        <v>0</v>
      </c>
      <c r="H42" s="107">
        <v>339</v>
      </c>
      <c r="I42" s="106">
        <v>589</v>
      </c>
      <c r="J42" s="107">
        <v>0</v>
      </c>
      <c r="K42" s="107">
        <v>0</v>
      </c>
      <c r="L42" s="107">
        <v>589</v>
      </c>
      <c r="M42" s="111">
        <v>0</v>
      </c>
      <c r="N42" s="107">
        <v>0</v>
      </c>
      <c r="O42" s="107">
        <v>0</v>
      </c>
      <c r="P42" s="107">
        <v>0</v>
      </c>
      <c r="Q42" s="111">
        <v>0</v>
      </c>
      <c r="R42" s="107">
        <v>0</v>
      </c>
      <c r="S42" s="107">
        <v>0</v>
      </c>
      <c r="T42" s="109">
        <v>0</v>
      </c>
    </row>
    <row r="43" spans="1:20" s="1" customFormat="1" ht="12.75" customHeight="1" thickBot="1" x14ac:dyDescent="0.25">
      <c r="A43" s="4038"/>
      <c r="B43" s="4024"/>
      <c r="C43" s="4027"/>
      <c r="D43" s="243" t="s">
        <v>412</v>
      </c>
      <c r="E43" s="106"/>
      <c r="F43" s="107"/>
      <c r="G43" s="107"/>
      <c r="H43" s="108"/>
      <c r="I43" s="106">
        <v>336.9</v>
      </c>
      <c r="J43" s="107"/>
      <c r="K43" s="107"/>
      <c r="L43" s="108">
        <v>336.9</v>
      </c>
      <c r="M43" s="111"/>
      <c r="N43" s="112"/>
      <c r="O43" s="112"/>
      <c r="P43" s="1516"/>
      <c r="Q43" s="111"/>
      <c r="R43" s="112"/>
      <c r="S43" s="112"/>
      <c r="T43" s="113"/>
    </row>
    <row r="44" spans="1:20" s="1" customFormat="1" ht="12.75" customHeight="1" thickBot="1" x14ac:dyDescent="0.25">
      <c r="A44" s="4038"/>
      <c r="B44" s="4024"/>
      <c r="C44" s="4027"/>
      <c r="D44" s="243" t="s">
        <v>202</v>
      </c>
      <c r="E44" s="106">
        <v>2257</v>
      </c>
      <c r="F44" s="107">
        <v>0</v>
      </c>
      <c r="G44" s="107">
        <v>0</v>
      </c>
      <c r="H44" s="109">
        <v>2257</v>
      </c>
      <c r="I44" s="106">
        <v>2731</v>
      </c>
      <c r="J44" s="107">
        <v>0</v>
      </c>
      <c r="K44" s="107">
        <v>0</v>
      </c>
      <c r="L44" s="108">
        <v>2731</v>
      </c>
      <c r="M44" s="111">
        <v>5677</v>
      </c>
      <c r="N44" s="112">
        <v>0</v>
      </c>
      <c r="O44" s="112">
        <v>0</v>
      </c>
      <c r="P44" s="113">
        <v>5677</v>
      </c>
      <c r="Q44" s="111">
        <v>3988</v>
      </c>
      <c r="R44" s="112">
        <v>0</v>
      </c>
      <c r="S44" s="112">
        <v>0</v>
      </c>
      <c r="T44" s="113">
        <v>3988</v>
      </c>
    </row>
    <row r="45" spans="1:20" s="173" customFormat="1" ht="12" thickBot="1" x14ac:dyDescent="0.25">
      <c r="A45" s="4037" t="s">
        <v>208</v>
      </c>
      <c r="B45" s="4017"/>
      <c r="C45" s="4017"/>
      <c r="D45" s="4019"/>
      <c r="E45" s="246">
        <f t="shared" ref="E45:T45" si="2">SUM(E32:E44)</f>
        <v>7422.0999999999995</v>
      </c>
      <c r="F45" s="247">
        <f t="shared" si="2"/>
        <v>3690.8999999999996</v>
      </c>
      <c r="G45" s="247">
        <f t="shared" si="2"/>
        <v>704.3</v>
      </c>
      <c r="H45" s="248">
        <f t="shared" si="2"/>
        <v>3731.2</v>
      </c>
      <c r="I45" s="255">
        <f t="shared" si="2"/>
        <v>11150.9</v>
      </c>
      <c r="J45" s="256">
        <f t="shared" si="2"/>
        <v>4382.7</v>
      </c>
      <c r="K45" s="256">
        <f t="shared" si="2"/>
        <v>863.7</v>
      </c>
      <c r="L45" s="257">
        <f t="shared" si="2"/>
        <v>6768.2000000000007</v>
      </c>
      <c r="M45" s="246">
        <f t="shared" si="2"/>
        <v>11004.1</v>
      </c>
      <c r="N45" s="247">
        <f t="shared" si="2"/>
        <v>4387.1000000000004</v>
      </c>
      <c r="O45" s="247">
        <f t="shared" si="2"/>
        <v>858.80000000000007</v>
      </c>
      <c r="P45" s="248">
        <f t="shared" si="2"/>
        <v>6617</v>
      </c>
      <c r="Q45" s="255">
        <f t="shared" si="2"/>
        <v>8266.5</v>
      </c>
      <c r="R45" s="256">
        <f t="shared" si="2"/>
        <v>4278.5</v>
      </c>
      <c r="S45" s="256">
        <f t="shared" si="2"/>
        <v>863.30000000000007</v>
      </c>
      <c r="T45" s="257">
        <f t="shared" si="2"/>
        <v>3988</v>
      </c>
    </row>
    <row r="46" spans="1:20" s="1" customFormat="1" ht="12.75" customHeight="1" x14ac:dyDescent="0.2">
      <c r="A46" s="3993">
        <v>2</v>
      </c>
      <c r="B46" s="4023">
        <v>4</v>
      </c>
      <c r="C46" s="4026" t="s">
        <v>1308</v>
      </c>
      <c r="D46" s="260" t="s">
        <v>30</v>
      </c>
      <c r="E46" s="104">
        <v>327.8</v>
      </c>
      <c r="F46" s="105">
        <v>286.3</v>
      </c>
      <c r="G46" s="105">
        <v>231.5</v>
      </c>
      <c r="H46" s="261">
        <v>41.5</v>
      </c>
      <c r="I46" s="104">
        <v>440.5</v>
      </c>
      <c r="J46" s="105">
        <v>440.5</v>
      </c>
      <c r="K46" s="105">
        <v>265.90000000000003</v>
      </c>
      <c r="L46" s="258">
        <v>0</v>
      </c>
      <c r="M46" s="262">
        <v>559.9</v>
      </c>
      <c r="N46" s="105">
        <v>327.8</v>
      </c>
      <c r="O46" s="105">
        <v>258.40000000000003</v>
      </c>
      <c r="P46" s="258">
        <v>232.1</v>
      </c>
      <c r="Q46" s="104">
        <v>523.59999999999991</v>
      </c>
      <c r="R46" s="105">
        <v>352.9</v>
      </c>
      <c r="S46" s="105">
        <v>271.5</v>
      </c>
      <c r="T46" s="258">
        <v>170.7</v>
      </c>
    </row>
    <row r="47" spans="1:20" s="1" customFormat="1" ht="12.75" customHeight="1" x14ac:dyDescent="0.2">
      <c r="A47" s="3994"/>
      <c r="B47" s="4024"/>
      <c r="C47" s="4027"/>
      <c r="D47" s="263" t="s">
        <v>33</v>
      </c>
      <c r="E47" s="106">
        <v>555.4</v>
      </c>
      <c r="F47" s="107">
        <v>555.4</v>
      </c>
      <c r="G47" s="107">
        <v>437.8</v>
      </c>
      <c r="H47" s="108">
        <v>0</v>
      </c>
      <c r="I47" s="106">
        <v>668.5</v>
      </c>
      <c r="J47" s="107">
        <v>668.5</v>
      </c>
      <c r="K47" s="107">
        <v>552</v>
      </c>
      <c r="L47" s="109">
        <v>0</v>
      </c>
      <c r="M47" s="220">
        <v>657.2</v>
      </c>
      <c r="N47" s="107">
        <v>657.2</v>
      </c>
      <c r="O47" s="107">
        <v>508.70000000000005</v>
      </c>
      <c r="P47" s="109">
        <v>0</v>
      </c>
      <c r="Q47" s="106">
        <v>657.19999999999993</v>
      </c>
      <c r="R47" s="107">
        <v>657.19999999999993</v>
      </c>
      <c r="S47" s="107">
        <v>508.70000000000005</v>
      </c>
      <c r="T47" s="109">
        <v>0</v>
      </c>
    </row>
    <row r="48" spans="1:20" s="1" customFormat="1" ht="12.75" customHeight="1" x14ac:dyDescent="0.2">
      <c r="A48" s="3994"/>
      <c r="B48" s="4024"/>
      <c r="C48" s="4027"/>
      <c r="D48" s="263" t="s">
        <v>362</v>
      </c>
      <c r="E48" s="106">
        <v>64.5</v>
      </c>
      <c r="F48" s="107">
        <v>64.5</v>
      </c>
      <c r="G48" s="107">
        <v>0</v>
      </c>
      <c r="H48" s="108">
        <v>0</v>
      </c>
      <c r="I48" s="106">
        <v>76.8</v>
      </c>
      <c r="J48" s="107">
        <v>76.8</v>
      </c>
      <c r="K48" s="107">
        <v>0</v>
      </c>
      <c r="L48" s="109">
        <v>0</v>
      </c>
      <c r="M48" s="220">
        <v>54.5</v>
      </c>
      <c r="N48" s="107">
        <v>54.5</v>
      </c>
      <c r="O48" s="107">
        <v>0</v>
      </c>
      <c r="P48" s="109">
        <v>0</v>
      </c>
      <c r="Q48" s="106">
        <v>48.5</v>
      </c>
      <c r="R48" s="107">
        <v>48.5</v>
      </c>
      <c r="S48" s="107">
        <v>0</v>
      </c>
      <c r="T48" s="109">
        <v>0</v>
      </c>
    </row>
    <row r="49" spans="1:20" s="1" customFormat="1" ht="12.75" customHeight="1" x14ac:dyDescent="0.2">
      <c r="A49" s="3994"/>
      <c r="B49" s="4024"/>
      <c r="C49" s="4027"/>
      <c r="D49" s="263" t="s">
        <v>363</v>
      </c>
      <c r="E49" s="106">
        <v>18.100000000000001</v>
      </c>
      <c r="F49" s="107">
        <v>18.100000000000001</v>
      </c>
      <c r="G49" s="107">
        <v>0</v>
      </c>
      <c r="H49" s="108">
        <v>0</v>
      </c>
      <c r="I49" s="106">
        <v>23.3</v>
      </c>
      <c r="J49" s="107">
        <v>23.3</v>
      </c>
      <c r="K49" s="107">
        <v>0</v>
      </c>
      <c r="L49" s="109">
        <v>0</v>
      </c>
      <c r="M49" s="220">
        <v>0</v>
      </c>
      <c r="N49" s="107">
        <v>0</v>
      </c>
      <c r="O49" s="107">
        <v>0</v>
      </c>
      <c r="P49" s="109">
        <v>0</v>
      </c>
      <c r="Q49" s="106">
        <v>0</v>
      </c>
      <c r="R49" s="107">
        <v>0</v>
      </c>
      <c r="S49" s="107">
        <v>0</v>
      </c>
      <c r="T49" s="109">
        <v>0</v>
      </c>
    </row>
    <row r="50" spans="1:20" s="1" customFormat="1" ht="12.75" customHeight="1" x14ac:dyDescent="0.2">
      <c r="A50" s="3994"/>
      <c r="B50" s="4024"/>
      <c r="C50" s="4027"/>
      <c r="D50" s="263" t="s">
        <v>34</v>
      </c>
      <c r="E50" s="106">
        <v>4</v>
      </c>
      <c r="F50" s="107">
        <v>2</v>
      </c>
      <c r="G50" s="107">
        <v>1</v>
      </c>
      <c r="H50" s="108">
        <v>2</v>
      </c>
      <c r="I50" s="106">
        <v>2</v>
      </c>
      <c r="J50" s="107">
        <v>2</v>
      </c>
      <c r="K50" s="107">
        <v>0.5</v>
      </c>
      <c r="L50" s="109">
        <v>0</v>
      </c>
      <c r="M50" s="220">
        <v>4</v>
      </c>
      <c r="N50" s="107">
        <v>4</v>
      </c>
      <c r="O50" s="107">
        <v>2</v>
      </c>
      <c r="P50" s="109">
        <v>0</v>
      </c>
      <c r="Q50" s="106">
        <v>4</v>
      </c>
      <c r="R50" s="107">
        <v>4</v>
      </c>
      <c r="S50" s="107">
        <v>2</v>
      </c>
      <c r="T50" s="109">
        <v>0</v>
      </c>
    </row>
    <row r="51" spans="1:20" s="1" customFormat="1" ht="12.75" customHeight="1" x14ac:dyDescent="0.2">
      <c r="A51" s="3994"/>
      <c r="B51" s="4024"/>
      <c r="C51" s="4027"/>
      <c r="D51" s="263" t="s">
        <v>458</v>
      </c>
      <c r="E51" s="106">
        <v>253</v>
      </c>
      <c r="F51" s="107">
        <v>253</v>
      </c>
      <c r="G51" s="107">
        <v>181.6</v>
      </c>
      <c r="H51" s="108">
        <v>0</v>
      </c>
      <c r="I51" s="106">
        <v>268.2</v>
      </c>
      <c r="J51" s="107">
        <v>268.2</v>
      </c>
      <c r="K51" s="107">
        <v>220.3</v>
      </c>
      <c r="L51" s="109">
        <v>0</v>
      </c>
      <c r="M51" s="220">
        <v>249.3</v>
      </c>
      <c r="N51" s="107">
        <v>249.3</v>
      </c>
      <c r="O51" s="107">
        <v>217.9</v>
      </c>
      <c r="P51" s="109">
        <v>0</v>
      </c>
      <c r="Q51" s="106">
        <v>249.3</v>
      </c>
      <c r="R51" s="107">
        <v>249.3</v>
      </c>
      <c r="S51" s="107">
        <v>217.9</v>
      </c>
      <c r="T51" s="109">
        <v>0</v>
      </c>
    </row>
    <row r="52" spans="1:20" s="1" customFormat="1" ht="12.75" customHeight="1" x14ac:dyDescent="0.2">
      <c r="A52" s="3994"/>
      <c r="B52" s="4024"/>
      <c r="C52" s="4027"/>
      <c r="D52" s="263" t="s">
        <v>112</v>
      </c>
      <c r="E52" s="106">
        <v>0.5</v>
      </c>
      <c r="F52" s="107">
        <v>0.5</v>
      </c>
      <c r="G52" s="107">
        <v>0.4</v>
      </c>
      <c r="H52" s="108">
        <v>0</v>
      </c>
      <c r="I52" s="106">
        <v>1.1000000000000001</v>
      </c>
      <c r="J52" s="107">
        <v>1.1000000000000001</v>
      </c>
      <c r="K52" s="107">
        <v>0.3</v>
      </c>
      <c r="L52" s="109">
        <v>0</v>
      </c>
      <c r="M52" s="220">
        <v>0</v>
      </c>
      <c r="N52" s="107">
        <v>0</v>
      </c>
      <c r="O52" s="107">
        <v>0</v>
      </c>
      <c r="P52" s="109">
        <v>0</v>
      </c>
      <c r="Q52" s="106">
        <v>0</v>
      </c>
      <c r="R52" s="107">
        <v>0</v>
      </c>
      <c r="S52" s="107">
        <v>0</v>
      </c>
      <c r="T52" s="109">
        <v>0</v>
      </c>
    </row>
    <row r="53" spans="1:20" s="1" customFormat="1" ht="13.5" customHeight="1" x14ac:dyDescent="0.2">
      <c r="A53" s="3994"/>
      <c r="B53" s="4024"/>
      <c r="C53" s="4027"/>
      <c r="D53" s="263" t="s">
        <v>111</v>
      </c>
      <c r="E53" s="106">
        <v>5</v>
      </c>
      <c r="F53" s="107">
        <v>5</v>
      </c>
      <c r="G53" s="107">
        <v>4.5</v>
      </c>
      <c r="H53" s="108">
        <v>0</v>
      </c>
      <c r="I53" s="106">
        <v>16.100000000000001</v>
      </c>
      <c r="J53" s="107">
        <v>16.100000000000001</v>
      </c>
      <c r="K53" s="107">
        <v>16.100000000000001</v>
      </c>
      <c r="L53" s="109">
        <v>0</v>
      </c>
      <c r="M53" s="220">
        <v>0</v>
      </c>
      <c r="N53" s="107">
        <v>0</v>
      </c>
      <c r="O53" s="107">
        <v>0</v>
      </c>
      <c r="P53" s="109">
        <v>0</v>
      </c>
      <c r="Q53" s="106">
        <v>0</v>
      </c>
      <c r="R53" s="107">
        <v>0</v>
      </c>
      <c r="S53" s="107">
        <v>0</v>
      </c>
      <c r="T53" s="109">
        <v>0</v>
      </c>
    </row>
    <row r="54" spans="1:20" s="1" customFormat="1" ht="13.5" customHeight="1" x14ac:dyDescent="0.2">
      <c r="A54" s="3994"/>
      <c r="B54" s="4024"/>
      <c r="C54" s="4027"/>
      <c r="D54" s="263" t="s">
        <v>455</v>
      </c>
      <c r="E54" s="106">
        <v>36.200000000000003</v>
      </c>
      <c r="F54" s="107">
        <v>36.200000000000003</v>
      </c>
      <c r="G54" s="107">
        <v>13.600000000000001</v>
      </c>
      <c r="H54" s="108">
        <v>0</v>
      </c>
      <c r="I54" s="106">
        <v>285.36</v>
      </c>
      <c r="J54" s="107">
        <v>268.7</v>
      </c>
      <c r="K54" s="107">
        <v>44.5</v>
      </c>
      <c r="L54" s="109">
        <v>16.66</v>
      </c>
      <c r="M54" s="220">
        <v>29.8</v>
      </c>
      <c r="N54" s="107">
        <v>29.8</v>
      </c>
      <c r="O54" s="107">
        <v>29</v>
      </c>
      <c r="P54" s="109">
        <v>0</v>
      </c>
      <c r="Q54" s="106">
        <v>5.8</v>
      </c>
      <c r="R54" s="107">
        <v>5.8</v>
      </c>
      <c r="S54" s="107">
        <v>5.78</v>
      </c>
      <c r="T54" s="109">
        <v>0</v>
      </c>
    </row>
    <row r="55" spans="1:20" s="1" customFormat="1" ht="13.5" customHeight="1" x14ac:dyDescent="0.2">
      <c r="A55" s="3994"/>
      <c r="B55" s="4024"/>
      <c r="C55" s="4027"/>
      <c r="D55" s="263" t="s">
        <v>244</v>
      </c>
      <c r="E55" s="106">
        <v>0</v>
      </c>
      <c r="F55" s="107"/>
      <c r="G55" s="107"/>
      <c r="H55" s="108"/>
      <c r="I55" s="106">
        <v>0</v>
      </c>
      <c r="J55" s="107"/>
      <c r="K55" s="107"/>
      <c r="L55" s="109"/>
      <c r="M55" s="220">
        <v>0</v>
      </c>
      <c r="N55" s="107"/>
      <c r="O55" s="107"/>
      <c r="P55" s="109"/>
      <c r="Q55" s="106">
        <v>0</v>
      </c>
      <c r="R55" s="107"/>
      <c r="S55" s="107"/>
      <c r="T55" s="109"/>
    </row>
    <row r="56" spans="1:20" s="1" customFormat="1" ht="13.5" customHeight="1" x14ac:dyDescent="0.2">
      <c r="A56" s="3994"/>
      <c r="B56" s="4024"/>
      <c r="C56" s="4027"/>
      <c r="D56" s="263" t="s">
        <v>202</v>
      </c>
      <c r="E56" s="106">
        <v>179.7</v>
      </c>
      <c r="F56" s="107">
        <v>0</v>
      </c>
      <c r="G56" s="107">
        <v>0</v>
      </c>
      <c r="H56" s="108">
        <v>179.7</v>
      </c>
      <c r="I56" s="106">
        <v>0</v>
      </c>
      <c r="J56" s="107">
        <v>0</v>
      </c>
      <c r="K56" s="107">
        <v>0</v>
      </c>
      <c r="L56" s="109">
        <v>0</v>
      </c>
      <c r="M56" s="220">
        <v>187.7</v>
      </c>
      <c r="N56" s="107">
        <v>0</v>
      </c>
      <c r="O56" s="107">
        <v>0</v>
      </c>
      <c r="P56" s="109">
        <v>187.7</v>
      </c>
      <c r="Q56" s="106">
        <v>110</v>
      </c>
      <c r="R56" s="107">
        <v>0</v>
      </c>
      <c r="S56" s="107">
        <v>0</v>
      </c>
      <c r="T56" s="109">
        <v>110</v>
      </c>
    </row>
    <row r="57" spans="1:20" s="1" customFormat="1" ht="13.5" customHeight="1" x14ac:dyDescent="0.2">
      <c r="A57" s="3994"/>
      <c r="B57" s="4024"/>
      <c r="C57" s="4027"/>
      <c r="D57" s="264" t="s">
        <v>99</v>
      </c>
      <c r="E57" s="106">
        <v>50</v>
      </c>
      <c r="F57" s="107">
        <v>0</v>
      </c>
      <c r="G57" s="107">
        <v>0</v>
      </c>
      <c r="H57" s="108">
        <v>50</v>
      </c>
      <c r="I57" s="106">
        <v>0</v>
      </c>
      <c r="J57" s="107">
        <v>0</v>
      </c>
      <c r="K57" s="107">
        <v>0</v>
      </c>
      <c r="L57" s="109">
        <v>0</v>
      </c>
      <c r="M57" s="220">
        <v>0</v>
      </c>
      <c r="N57" s="107">
        <v>0</v>
      </c>
      <c r="O57" s="107">
        <v>0</v>
      </c>
      <c r="P57" s="107">
        <v>0</v>
      </c>
      <c r="Q57" s="106">
        <v>0</v>
      </c>
      <c r="R57" s="107">
        <v>0</v>
      </c>
      <c r="S57" s="107">
        <v>0</v>
      </c>
      <c r="T57" s="109">
        <v>0</v>
      </c>
    </row>
    <row r="58" spans="1:20" s="1" customFormat="1" ht="12.75" customHeight="1" x14ac:dyDescent="0.2">
      <c r="A58" s="3994"/>
      <c r="B58" s="4024"/>
      <c r="C58" s="4027"/>
      <c r="D58" s="263" t="s">
        <v>31</v>
      </c>
      <c r="E58" s="106">
        <v>486.19999999999993</v>
      </c>
      <c r="F58" s="107">
        <v>486.19999999999993</v>
      </c>
      <c r="G58" s="107">
        <v>358.9</v>
      </c>
      <c r="H58" s="109">
        <v>0</v>
      </c>
      <c r="I58" s="106">
        <v>0</v>
      </c>
      <c r="J58" s="107">
        <v>0</v>
      </c>
      <c r="K58" s="107">
        <v>0</v>
      </c>
      <c r="L58" s="109">
        <v>0</v>
      </c>
      <c r="M58" s="220">
        <v>0</v>
      </c>
      <c r="N58" s="107">
        <v>0</v>
      </c>
      <c r="O58" s="107">
        <v>0</v>
      </c>
      <c r="P58" s="108">
        <v>0</v>
      </c>
      <c r="Q58" s="107">
        <v>0</v>
      </c>
      <c r="R58" s="107">
        <v>0</v>
      </c>
      <c r="S58" s="107">
        <v>0</v>
      </c>
      <c r="T58" s="109">
        <v>0</v>
      </c>
    </row>
    <row r="59" spans="1:20" s="1" customFormat="1" ht="12.75" customHeight="1" thickBot="1" x14ac:dyDescent="0.25">
      <c r="A59" s="3995"/>
      <c r="B59" s="4025"/>
      <c r="C59" s="4028"/>
      <c r="D59" s="244" t="s">
        <v>454</v>
      </c>
      <c r="E59" s="265">
        <v>3.9</v>
      </c>
      <c r="F59" s="265">
        <v>3.9</v>
      </c>
      <c r="G59" s="265">
        <v>0.1</v>
      </c>
      <c r="H59" s="266">
        <v>0</v>
      </c>
      <c r="I59" s="165">
        <v>87.84</v>
      </c>
      <c r="J59" s="265">
        <v>84.9</v>
      </c>
      <c r="K59" s="265">
        <v>22.9</v>
      </c>
      <c r="L59" s="266">
        <v>2.94</v>
      </c>
      <c r="M59" s="165">
        <v>47.699999999999996</v>
      </c>
      <c r="N59" s="265">
        <v>47.699999999999996</v>
      </c>
      <c r="O59" s="265">
        <v>41.6</v>
      </c>
      <c r="P59" s="266">
        <v>0</v>
      </c>
      <c r="Q59" s="165">
        <v>1</v>
      </c>
      <c r="R59" s="265">
        <v>1</v>
      </c>
      <c r="S59" s="265">
        <v>1.02</v>
      </c>
      <c r="T59" s="267">
        <v>0</v>
      </c>
    </row>
    <row r="60" spans="1:20" s="173" customFormat="1" ht="12" thickBot="1" x14ac:dyDescent="0.25">
      <c r="A60" s="4045" t="s">
        <v>208</v>
      </c>
      <c r="B60" s="4046"/>
      <c r="C60" s="4046"/>
      <c r="D60" s="4047"/>
      <c r="E60" s="268">
        <f>SUM(E46:E59)</f>
        <v>1984.3000000000002</v>
      </c>
      <c r="F60" s="269">
        <f t="shared" ref="F60:T60" si="3">SUM(F46:F59)</f>
        <v>1711.1000000000004</v>
      </c>
      <c r="G60" s="269">
        <f t="shared" si="3"/>
        <v>1229.3999999999999</v>
      </c>
      <c r="H60" s="270">
        <f t="shared" si="3"/>
        <v>273.2</v>
      </c>
      <c r="I60" s="271">
        <f t="shared" si="3"/>
        <v>1869.6999999999996</v>
      </c>
      <c r="J60" s="269">
        <f t="shared" si="3"/>
        <v>1850.1</v>
      </c>
      <c r="K60" s="269">
        <f t="shared" si="3"/>
        <v>1122.5</v>
      </c>
      <c r="L60" s="272">
        <f t="shared" si="3"/>
        <v>19.600000000000001</v>
      </c>
      <c r="M60" s="268">
        <f t="shared" si="3"/>
        <v>1790.1</v>
      </c>
      <c r="N60" s="269">
        <f t="shared" si="3"/>
        <v>1370.3</v>
      </c>
      <c r="O60" s="269">
        <f t="shared" si="3"/>
        <v>1057.6000000000001</v>
      </c>
      <c r="P60" s="270">
        <f t="shared" si="3"/>
        <v>419.79999999999995</v>
      </c>
      <c r="Q60" s="271">
        <f t="shared" si="3"/>
        <v>1599.3999999999996</v>
      </c>
      <c r="R60" s="269">
        <f t="shared" si="3"/>
        <v>1318.6999999999998</v>
      </c>
      <c r="S60" s="269">
        <f t="shared" si="3"/>
        <v>1006.9</v>
      </c>
      <c r="T60" s="273">
        <f t="shared" si="3"/>
        <v>280.7</v>
      </c>
    </row>
    <row r="61" spans="1:20" s="1" customFormat="1" ht="11.25" customHeight="1" x14ac:dyDescent="0.2">
      <c r="A61" s="4020">
        <v>2</v>
      </c>
      <c r="B61" s="3990">
        <v>5</v>
      </c>
      <c r="C61" s="4048" t="s">
        <v>1309</v>
      </c>
      <c r="D61" s="240" t="s">
        <v>30</v>
      </c>
      <c r="E61" s="158">
        <v>5232.1000000000004</v>
      </c>
      <c r="F61" s="159">
        <v>5070.3</v>
      </c>
      <c r="G61" s="159">
        <v>2192.6000000000004</v>
      </c>
      <c r="H61" s="159">
        <v>161.79999999999998</v>
      </c>
      <c r="I61" s="158">
        <v>6745.7</v>
      </c>
      <c r="J61" s="159">
        <v>6410</v>
      </c>
      <c r="K61" s="159">
        <v>2836.3</v>
      </c>
      <c r="L61" s="159">
        <v>335.70000000000005</v>
      </c>
      <c r="M61" s="158">
        <v>7447.0999999999995</v>
      </c>
      <c r="N61" s="159">
        <v>7146.9999999999991</v>
      </c>
      <c r="O61" s="159">
        <v>3062.8999999999996</v>
      </c>
      <c r="P61" s="159">
        <v>300.10000000000002</v>
      </c>
      <c r="Q61" s="158">
        <v>7019.7999999999993</v>
      </c>
      <c r="R61" s="159">
        <v>7019.7999999999993</v>
      </c>
      <c r="S61" s="159">
        <v>3060.7999999999997</v>
      </c>
      <c r="T61" s="274">
        <v>0</v>
      </c>
    </row>
    <row r="62" spans="1:20" s="1" customFormat="1" ht="12.75" customHeight="1" x14ac:dyDescent="0.2">
      <c r="A62" s="4021"/>
      <c r="B62" s="3991"/>
      <c r="C62" s="4049"/>
      <c r="D62" s="242" t="s">
        <v>509</v>
      </c>
      <c r="E62" s="160">
        <v>15853.499999999998</v>
      </c>
      <c r="F62" s="161">
        <v>15853.499999999998</v>
      </c>
      <c r="G62" s="161">
        <v>0</v>
      </c>
      <c r="H62" s="161">
        <v>0</v>
      </c>
      <c r="I62" s="160">
        <v>16261.300000000001</v>
      </c>
      <c r="J62" s="161">
        <v>16261.300000000001</v>
      </c>
      <c r="K62" s="161">
        <v>0</v>
      </c>
      <c r="L62" s="161">
        <v>0</v>
      </c>
      <c r="M62" s="160">
        <v>16371.2</v>
      </c>
      <c r="N62" s="161">
        <v>16371.2</v>
      </c>
      <c r="O62" s="161">
        <v>0</v>
      </c>
      <c r="P62" s="161">
        <v>0</v>
      </c>
      <c r="Q62" s="160">
        <v>16371.2</v>
      </c>
      <c r="R62" s="161">
        <v>16371.2</v>
      </c>
      <c r="S62" s="161">
        <v>0</v>
      </c>
      <c r="T62" s="162">
        <v>0</v>
      </c>
    </row>
    <row r="63" spans="1:20" s="1" customFormat="1" ht="12.75" customHeight="1" x14ac:dyDescent="0.2">
      <c r="A63" s="4021"/>
      <c r="B63" s="3991"/>
      <c r="C63" s="4049"/>
      <c r="D63" s="242" t="s">
        <v>33</v>
      </c>
      <c r="E63" s="160">
        <v>2590.2000000000007</v>
      </c>
      <c r="F63" s="161">
        <v>2590.2000000000007</v>
      </c>
      <c r="G63" s="161">
        <v>709.50000000000011</v>
      </c>
      <c r="H63" s="161">
        <v>0</v>
      </c>
      <c r="I63" s="160">
        <v>3305.6999999999989</v>
      </c>
      <c r="J63" s="161">
        <v>3305.6999999999989</v>
      </c>
      <c r="K63" s="161">
        <v>986.7</v>
      </c>
      <c r="L63" s="161">
        <v>0</v>
      </c>
      <c r="M63" s="160">
        <v>2997.5</v>
      </c>
      <c r="N63" s="161">
        <v>2997.5</v>
      </c>
      <c r="O63" s="161">
        <v>846.19999999999993</v>
      </c>
      <c r="P63" s="161">
        <v>0</v>
      </c>
      <c r="Q63" s="160">
        <v>2991.2</v>
      </c>
      <c r="R63" s="161">
        <v>2991.2</v>
      </c>
      <c r="S63" s="161">
        <v>771.59999999999991</v>
      </c>
      <c r="T63" s="162">
        <v>0</v>
      </c>
    </row>
    <row r="64" spans="1:20" s="1" customFormat="1" ht="12.75" customHeight="1" x14ac:dyDescent="0.2">
      <c r="A64" s="4021"/>
      <c r="B64" s="3991"/>
      <c r="C64" s="4049"/>
      <c r="D64" s="242" t="s">
        <v>111</v>
      </c>
      <c r="E64" s="160">
        <v>313.79999999999995</v>
      </c>
      <c r="F64" s="161">
        <v>170.1</v>
      </c>
      <c r="G64" s="161">
        <v>0</v>
      </c>
      <c r="H64" s="161">
        <v>143.69999999999999</v>
      </c>
      <c r="I64" s="160">
        <v>273.8</v>
      </c>
      <c r="J64" s="161">
        <v>143</v>
      </c>
      <c r="K64" s="161">
        <v>2.9</v>
      </c>
      <c r="L64" s="161">
        <v>130.80000000000001</v>
      </c>
      <c r="M64" s="160">
        <v>281.3</v>
      </c>
      <c r="N64" s="161">
        <v>3.1</v>
      </c>
      <c r="O64" s="161">
        <v>2.9</v>
      </c>
      <c r="P64" s="161">
        <v>278.2</v>
      </c>
      <c r="Q64" s="160">
        <v>0</v>
      </c>
      <c r="R64" s="161">
        <v>0</v>
      </c>
      <c r="S64" s="161">
        <v>0</v>
      </c>
      <c r="T64" s="162">
        <v>0</v>
      </c>
    </row>
    <row r="65" spans="1:20" s="1" customFormat="1" ht="12.75" customHeight="1" x14ac:dyDescent="0.2">
      <c r="A65" s="4021"/>
      <c r="B65" s="3991"/>
      <c r="C65" s="4049"/>
      <c r="D65" s="242" t="s">
        <v>202</v>
      </c>
      <c r="E65" s="160">
        <v>1546.8000000000002</v>
      </c>
      <c r="F65" s="161">
        <v>1546.8000000000002</v>
      </c>
      <c r="G65" s="161">
        <v>824.5</v>
      </c>
      <c r="H65" s="161">
        <v>0</v>
      </c>
      <c r="I65" s="160">
        <v>1687</v>
      </c>
      <c r="J65" s="161">
        <v>1687</v>
      </c>
      <c r="K65" s="161">
        <v>1094.8</v>
      </c>
      <c r="L65" s="161">
        <v>0</v>
      </c>
      <c r="M65" s="160">
        <v>1390</v>
      </c>
      <c r="N65" s="161">
        <v>1390</v>
      </c>
      <c r="O65" s="161">
        <v>828</v>
      </c>
      <c r="P65" s="161">
        <v>0</v>
      </c>
      <c r="Q65" s="160">
        <v>1365</v>
      </c>
      <c r="R65" s="161">
        <v>1365</v>
      </c>
      <c r="S65" s="161">
        <v>828</v>
      </c>
      <c r="T65" s="162">
        <v>0</v>
      </c>
    </row>
    <row r="66" spans="1:20" s="1" customFormat="1" ht="12.75" customHeight="1" x14ac:dyDescent="0.2">
      <c r="A66" s="4021"/>
      <c r="B66" s="3991"/>
      <c r="C66" s="4049"/>
      <c r="D66" s="242" t="s">
        <v>34</v>
      </c>
      <c r="E66" s="160">
        <v>1137.9000000000003</v>
      </c>
      <c r="F66" s="161">
        <v>1127.0000000000002</v>
      </c>
      <c r="G66" s="161">
        <v>864.6</v>
      </c>
      <c r="H66" s="161">
        <v>10.9</v>
      </c>
      <c r="I66" s="160">
        <v>1237.6000000000001</v>
      </c>
      <c r="J66" s="161">
        <v>1237.6000000000001</v>
      </c>
      <c r="K66" s="161">
        <v>929.3</v>
      </c>
      <c r="L66" s="161">
        <v>0</v>
      </c>
      <c r="M66" s="160">
        <v>1232.8</v>
      </c>
      <c r="N66" s="161">
        <v>1232.8</v>
      </c>
      <c r="O66" s="161">
        <v>922.2</v>
      </c>
      <c r="P66" s="161">
        <v>0</v>
      </c>
      <c r="Q66" s="160">
        <v>1210.7</v>
      </c>
      <c r="R66" s="161">
        <v>1210.7</v>
      </c>
      <c r="S66" s="161">
        <v>929.3</v>
      </c>
      <c r="T66" s="162">
        <v>0</v>
      </c>
    </row>
    <row r="67" spans="1:20" s="1" customFormat="1" ht="12.75" customHeight="1" x14ac:dyDescent="0.2">
      <c r="A67" s="4021"/>
      <c r="B67" s="3991"/>
      <c r="C67" s="4049"/>
      <c r="D67" s="259" t="s">
        <v>586</v>
      </c>
      <c r="E67" s="160">
        <v>13</v>
      </c>
      <c r="F67" s="161">
        <v>13</v>
      </c>
      <c r="G67" s="161">
        <v>0</v>
      </c>
      <c r="H67" s="161">
        <v>0</v>
      </c>
      <c r="I67" s="160">
        <v>19.600000000000001</v>
      </c>
      <c r="J67" s="161">
        <v>19.600000000000001</v>
      </c>
      <c r="K67" s="161">
        <v>0</v>
      </c>
      <c r="L67" s="161">
        <v>0</v>
      </c>
      <c r="M67" s="163">
        <v>0</v>
      </c>
      <c r="N67" s="161">
        <v>0</v>
      </c>
      <c r="O67" s="161">
        <v>0</v>
      </c>
      <c r="P67" s="161">
        <v>0</v>
      </c>
      <c r="Q67" s="163">
        <v>0</v>
      </c>
      <c r="R67" s="161">
        <v>0</v>
      </c>
      <c r="S67" s="161">
        <v>0</v>
      </c>
      <c r="T67" s="162">
        <v>0</v>
      </c>
    </row>
    <row r="68" spans="1:20" s="1" customFormat="1" ht="12.75" customHeight="1" x14ac:dyDescent="0.2">
      <c r="A68" s="4021"/>
      <c r="B68" s="3991"/>
      <c r="C68" s="4049"/>
      <c r="D68" s="242" t="s">
        <v>521</v>
      </c>
      <c r="E68" s="160">
        <v>0</v>
      </c>
      <c r="F68" s="161"/>
      <c r="G68" s="161">
        <v>0</v>
      </c>
      <c r="H68" s="161">
        <v>0</v>
      </c>
      <c r="I68" s="164">
        <v>125.3</v>
      </c>
      <c r="J68" s="161">
        <v>125.3</v>
      </c>
      <c r="K68" s="161">
        <v>0</v>
      </c>
      <c r="L68" s="161">
        <v>0</v>
      </c>
      <c r="M68" s="160">
        <v>0</v>
      </c>
      <c r="N68" s="161">
        <v>0</v>
      </c>
      <c r="O68" s="161">
        <v>0</v>
      </c>
      <c r="P68" s="161">
        <v>0</v>
      </c>
      <c r="Q68" s="160">
        <v>0</v>
      </c>
      <c r="R68" s="161">
        <v>0</v>
      </c>
      <c r="S68" s="161">
        <v>0</v>
      </c>
      <c r="T68" s="162">
        <v>0</v>
      </c>
    </row>
    <row r="69" spans="1:20" s="1" customFormat="1" ht="12.75" customHeight="1" x14ac:dyDescent="0.2">
      <c r="A69" s="4021"/>
      <c r="B69" s="3991"/>
      <c r="C69" s="4049"/>
      <c r="D69" s="242" t="s">
        <v>510</v>
      </c>
      <c r="E69" s="160">
        <v>16.399999999999999</v>
      </c>
      <c r="F69" s="161">
        <v>16.399999999999999</v>
      </c>
      <c r="G69" s="161">
        <v>0</v>
      </c>
      <c r="H69" s="161">
        <v>0</v>
      </c>
      <c r="I69" s="160">
        <v>2</v>
      </c>
      <c r="J69" s="161">
        <v>2</v>
      </c>
      <c r="K69" s="161">
        <v>0</v>
      </c>
      <c r="L69" s="161">
        <v>0</v>
      </c>
      <c r="M69" s="160">
        <v>0</v>
      </c>
      <c r="N69" s="161">
        <v>0</v>
      </c>
      <c r="O69" s="161">
        <v>0</v>
      </c>
      <c r="P69" s="161">
        <v>0</v>
      </c>
      <c r="Q69" s="160">
        <v>0</v>
      </c>
      <c r="R69" s="161">
        <v>0</v>
      </c>
      <c r="S69" s="161">
        <v>0</v>
      </c>
      <c r="T69" s="162">
        <v>0</v>
      </c>
    </row>
    <row r="70" spans="1:20" s="1" customFormat="1" ht="12.75" customHeight="1" thickBot="1" x14ac:dyDescent="0.25">
      <c r="A70" s="4022"/>
      <c r="B70" s="3992"/>
      <c r="C70" s="4050"/>
      <c r="D70" s="242" t="s">
        <v>31</v>
      </c>
      <c r="E70" s="165">
        <v>121.4</v>
      </c>
      <c r="F70" s="166">
        <v>121.4</v>
      </c>
      <c r="G70" s="166">
        <v>0</v>
      </c>
      <c r="H70" s="166">
        <v>0</v>
      </c>
      <c r="I70" s="165">
        <v>0</v>
      </c>
      <c r="J70" s="166">
        <v>0</v>
      </c>
      <c r="K70" s="166">
        <v>0</v>
      </c>
      <c r="L70" s="166">
        <v>0</v>
      </c>
      <c r="M70" s="165">
        <v>272</v>
      </c>
      <c r="N70" s="166">
        <v>272</v>
      </c>
      <c r="O70" s="166">
        <v>267.8</v>
      </c>
      <c r="P70" s="166">
        <v>0</v>
      </c>
      <c r="Q70" s="275">
        <v>272</v>
      </c>
      <c r="R70" s="166">
        <v>272</v>
      </c>
      <c r="S70" s="166">
        <v>267.8</v>
      </c>
      <c r="T70" s="167">
        <v>0</v>
      </c>
    </row>
    <row r="71" spans="1:20" s="173" customFormat="1" ht="12" thickBot="1" x14ac:dyDescent="0.25">
      <c r="A71" s="4037" t="s">
        <v>208</v>
      </c>
      <c r="B71" s="4017"/>
      <c r="C71" s="4017"/>
      <c r="D71" s="4019"/>
      <c r="E71" s="276">
        <f t="shared" ref="E71:T71" si="4">SUM(E61:E70)</f>
        <v>26825.100000000002</v>
      </c>
      <c r="F71" s="256">
        <f t="shared" si="4"/>
        <v>26508.7</v>
      </c>
      <c r="G71" s="256">
        <f t="shared" si="4"/>
        <v>4591.2000000000007</v>
      </c>
      <c r="H71" s="256">
        <f t="shared" si="4"/>
        <v>316.39999999999998</v>
      </c>
      <c r="I71" s="276">
        <f t="shared" si="4"/>
        <v>29657.999999999993</v>
      </c>
      <c r="J71" s="256">
        <f t="shared" si="4"/>
        <v>29191.499999999996</v>
      </c>
      <c r="K71" s="256">
        <f t="shared" si="4"/>
        <v>5850</v>
      </c>
      <c r="L71" s="256">
        <f t="shared" si="4"/>
        <v>466.50000000000006</v>
      </c>
      <c r="M71" s="276">
        <f t="shared" si="4"/>
        <v>29991.899999999998</v>
      </c>
      <c r="N71" s="256">
        <f t="shared" si="4"/>
        <v>29413.599999999999</v>
      </c>
      <c r="O71" s="256">
        <f t="shared" si="4"/>
        <v>5930</v>
      </c>
      <c r="P71" s="256">
        <f t="shared" si="4"/>
        <v>578.29999999999995</v>
      </c>
      <c r="Q71" s="276">
        <f t="shared" si="4"/>
        <v>29229.9</v>
      </c>
      <c r="R71" s="256">
        <f t="shared" si="4"/>
        <v>29229.9</v>
      </c>
      <c r="S71" s="256">
        <f t="shared" si="4"/>
        <v>5857.5</v>
      </c>
      <c r="T71" s="257">
        <f t="shared" si="4"/>
        <v>0</v>
      </c>
    </row>
    <row r="72" spans="1:20" s="1" customFormat="1" ht="11.25" customHeight="1" x14ac:dyDescent="0.2">
      <c r="A72" s="3993">
        <v>1</v>
      </c>
      <c r="B72" s="4054" t="s">
        <v>1033</v>
      </c>
      <c r="C72" s="3987" t="s">
        <v>1310</v>
      </c>
      <c r="D72" s="260" t="s">
        <v>30</v>
      </c>
      <c r="E72" s="2439">
        <v>3227.48</v>
      </c>
      <c r="F72" s="2440">
        <v>1521.38</v>
      </c>
      <c r="G72" s="2440">
        <v>0</v>
      </c>
      <c r="H72" s="2441">
        <v>1706.1</v>
      </c>
      <c r="I72" s="2442">
        <v>3474.7</v>
      </c>
      <c r="J72" s="2440">
        <v>1315.3</v>
      </c>
      <c r="K72" s="2440">
        <v>8.1</v>
      </c>
      <c r="L72" s="2441">
        <v>2159.4</v>
      </c>
      <c r="M72" s="2442">
        <v>7763.2</v>
      </c>
      <c r="N72" s="2440">
        <v>2262.5</v>
      </c>
      <c r="O72" s="2440">
        <v>0</v>
      </c>
      <c r="P72" s="2441">
        <v>5500.7</v>
      </c>
      <c r="Q72" s="2442">
        <v>6187.5</v>
      </c>
      <c r="R72" s="2440">
        <v>2262.5</v>
      </c>
      <c r="S72" s="2440">
        <v>0</v>
      </c>
      <c r="T72" s="2441">
        <v>3925</v>
      </c>
    </row>
    <row r="73" spans="1:20" s="1" customFormat="1" ht="12.75" customHeight="1" x14ac:dyDescent="0.2">
      <c r="A73" s="3994"/>
      <c r="B73" s="4055"/>
      <c r="C73" s="3988"/>
      <c r="D73" s="263" t="s">
        <v>665</v>
      </c>
      <c r="E73" s="2443">
        <v>2632.6</v>
      </c>
      <c r="F73" s="2444">
        <v>910.1</v>
      </c>
      <c r="G73" s="2444">
        <v>0</v>
      </c>
      <c r="H73" s="2445">
        <v>1722.5</v>
      </c>
      <c r="I73" s="2446">
        <v>3007.4</v>
      </c>
      <c r="J73" s="2444">
        <v>5</v>
      </c>
      <c r="K73" s="2444">
        <v>0</v>
      </c>
      <c r="L73" s="2445">
        <v>3002.4</v>
      </c>
      <c r="M73" s="2446">
        <v>3505</v>
      </c>
      <c r="N73" s="2444">
        <v>5</v>
      </c>
      <c r="O73" s="2444">
        <v>0</v>
      </c>
      <c r="P73" s="2445">
        <v>3500</v>
      </c>
      <c r="Q73" s="2446">
        <v>3455</v>
      </c>
      <c r="R73" s="2444">
        <v>5</v>
      </c>
      <c r="S73" s="2444">
        <v>0</v>
      </c>
      <c r="T73" s="2445">
        <v>3450</v>
      </c>
    </row>
    <row r="74" spans="1:20" s="1" customFormat="1" ht="12.75" customHeight="1" x14ac:dyDescent="0.2">
      <c r="A74" s="3994"/>
      <c r="B74" s="4055"/>
      <c r="C74" s="3988"/>
      <c r="D74" s="263" t="s">
        <v>634</v>
      </c>
      <c r="E74" s="2447">
        <v>0</v>
      </c>
      <c r="F74" s="2444">
        <v>0</v>
      </c>
      <c r="G74" s="2444">
        <v>0</v>
      </c>
      <c r="H74" s="2445">
        <v>0</v>
      </c>
      <c r="I74" s="2446">
        <v>3837.8</v>
      </c>
      <c r="J74" s="2444">
        <v>1146.0000000000002</v>
      </c>
      <c r="K74" s="2444">
        <v>0</v>
      </c>
      <c r="L74" s="2445">
        <v>2691.8</v>
      </c>
      <c r="M74" s="2446">
        <v>0</v>
      </c>
      <c r="N74" s="2444">
        <v>0</v>
      </c>
      <c r="O74" s="2444">
        <v>0</v>
      </c>
      <c r="P74" s="2445">
        <v>0</v>
      </c>
      <c r="Q74" s="2446">
        <v>0</v>
      </c>
      <c r="R74" s="2444">
        <v>0</v>
      </c>
      <c r="S74" s="2444">
        <v>0</v>
      </c>
      <c r="T74" s="2445">
        <v>0</v>
      </c>
    </row>
    <row r="75" spans="1:20" s="1" customFormat="1" ht="12.75" customHeight="1" x14ac:dyDescent="0.2">
      <c r="A75" s="3994"/>
      <c r="B75" s="4055"/>
      <c r="C75" s="3988"/>
      <c r="D75" s="263" t="s">
        <v>111</v>
      </c>
      <c r="E75" s="2447">
        <v>1487.3</v>
      </c>
      <c r="F75" s="2444">
        <v>5.3</v>
      </c>
      <c r="G75" s="2444">
        <v>0</v>
      </c>
      <c r="H75" s="2445">
        <v>1482</v>
      </c>
      <c r="I75" s="2446">
        <v>934.03199999999993</v>
      </c>
      <c r="J75" s="2444">
        <v>1.3</v>
      </c>
      <c r="K75" s="2444">
        <v>1.2</v>
      </c>
      <c r="L75" s="2445">
        <v>932.73199999999997</v>
      </c>
      <c r="M75" s="2446">
        <v>1057.4000000000001</v>
      </c>
      <c r="N75" s="2444">
        <v>6.9</v>
      </c>
      <c r="O75" s="2444">
        <v>6.8</v>
      </c>
      <c r="P75" s="2445">
        <v>1050.5</v>
      </c>
      <c r="Q75" s="2446">
        <v>0</v>
      </c>
      <c r="R75" s="2444">
        <v>0</v>
      </c>
      <c r="S75" s="2444">
        <v>0</v>
      </c>
      <c r="T75" s="2445">
        <v>0</v>
      </c>
    </row>
    <row r="76" spans="1:20" s="1" customFormat="1" ht="12.75" customHeight="1" x14ac:dyDescent="0.2">
      <c r="A76" s="3994"/>
      <c r="B76" s="4055"/>
      <c r="C76" s="3988"/>
      <c r="D76" s="263" t="s">
        <v>112</v>
      </c>
      <c r="E76" s="2447">
        <v>102.20000000000002</v>
      </c>
      <c r="F76" s="2444">
        <v>0.4</v>
      </c>
      <c r="G76" s="2444">
        <v>0</v>
      </c>
      <c r="H76" s="2445">
        <v>101.80000000000001</v>
      </c>
      <c r="I76" s="2446">
        <v>53.9</v>
      </c>
      <c r="J76" s="2444">
        <v>0</v>
      </c>
      <c r="K76" s="2444">
        <v>0</v>
      </c>
      <c r="L76" s="2445">
        <v>53.9</v>
      </c>
      <c r="M76" s="2446">
        <v>0</v>
      </c>
      <c r="N76" s="2444">
        <v>0</v>
      </c>
      <c r="O76" s="2444">
        <v>0</v>
      </c>
      <c r="P76" s="2445">
        <v>0</v>
      </c>
      <c r="Q76" s="2446">
        <v>0</v>
      </c>
      <c r="R76" s="2444">
        <v>0</v>
      </c>
      <c r="S76" s="2444">
        <v>0</v>
      </c>
      <c r="T76" s="2445">
        <v>0</v>
      </c>
    </row>
    <row r="77" spans="1:20" s="1" customFormat="1" ht="12.75" customHeight="1" x14ac:dyDescent="0.2">
      <c r="A77" s="3994"/>
      <c r="B77" s="4055"/>
      <c r="C77" s="3988"/>
      <c r="D77" s="277" t="s">
        <v>202</v>
      </c>
      <c r="E77" s="2447">
        <v>300</v>
      </c>
      <c r="F77" s="2444">
        <v>0</v>
      </c>
      <c r="G77" s="2444">
        <v>0</v>
      </c>
      <c r="H77" s="2445">
        <v>300</v>
      </c>
      <c r="I77" s="2446">
        <v>200</v>
      </c>
      <c r="J77" s="2444">
        <v>0</v>
      </c>
      <c r="K77" s="2444">
        <v>0</v>
      </c>
      <c r="L77" s="2445">
        <v>200</v>
      </c>
      <c r="M77" s="2446">
        <v>200</v>
      </c>
      <c r="N77" s="2444">
        <v>0</v>
      </c>
      <c r="O77" s="2444">
        <v>0</v>
      </c>
      <c r="P77" s="2445">
        <v>200</v>
      </c>
      <c r="Q77" s="2446">
        <v>200</v>
      </c>
      <c r="R77" s="2444">
        <v>0</v>
      </c>
      <c r="S77" s="2444">
        <v>0</v>
      </c>
      <c r="T77" s="2445">
        <v>200</v>
      </c>
    </row>
    <row r="78" spans="1:20" s="1" customFormat="1" ht="12.75" customHeight="1" x14ac:dyDescent="0.2">
      <c r="A78" s="3994"/>
      <c r="B78" s="4055"/>
      <c r="C78" s="3988"/>
      <c r="D78" s="277" t="s">
        <v>31</v>
      </c>
      <c r="E78" s="2447">
        <v>0</v>
      </c>
      <c r="F78" s="2444">
        <v>0</v>
      </c>
      <c r="G78" s="2444">
        <v>0</v>
      </c>
      <c r="H78" s="2444">
        <v>0</v>
      </c>
      <c r="I78" s="2446">
        <v>0</v>
      </c>
      <c r="J78" s="2444">
        <v>0</v>
      </c>
      <c r="K78" s="2444">
        <v>0</v>
      </c>
      <c r="L78" s="2444">
        <v>0</v>
      </c>
      <c r="M78" s="2446">
        <v>0</v>
      </c>
      <c r="N78" s="2444">
        <v>0</v>
      </c>
      <c r="O78" s="2444">
        <v>0</v>
      </c>
      <c r="P78" s="2444">
        <v>0</v>
      </c>
      <c r="Q78" s="2446">
        <v>0</v>
      </c>
      <c r="R78" s="2444">
        <v>0</v>
      </c>
      <c r="S78" s="2444">
        <v>0</v>
      </c>
      <c r="T78" s="2445">
        <v>0</v>
      </c>
    </row>
    <row r="79" spans="1:20" s="1" customFormat="1" ht="12.75" customHeight="1" x14ac:dyDescent="0.2">
      <c r="A79" s="3994"/>
      <c r="B79" s="4055"/>
      <c r="C79" s="3988"/>
      <c r="D79" s="277" t="s">
        <v>116</v>
      </c>
      <c r="E79" s="2447">
        <v>54.4</v>
      </c>
      <c r="F79" s="2444">
        <v>0</v>
      </c>
      <c r="G79" s="2444">
        <v>0</v>
      </c>
      <c r="H79" s="2445">
        <v>54.4</v>
      </c>
      <c r="I79" s="2446">
        <v>512.29999999999995</v>
      </c>
      <c r="J79" s="2444">
        <v>0</v>
      </c>
      <c r="K79" s="2444">
        <v>0</v>
      </c>
      <c r="L79" s="2445">
        <v>512.29999999999995</v>
      </c>
      <c r="M79" s="2446">
        <v>0</v>
      </c>
      <c r="N79" s="2444">
        <v>0</v>
      </c>
      <c r="O79" s="2444">
        <v>0</v>
      </c>
      <c r="P79" s="2445">
        <v>0</v>
      </c>
      <c r="Q79" s="2446">
        <v>0</v>
      </c>
      <c r="R79" s="2444">
        <v>0</v>
      </c>
      <c r="S79" s="2444">
        <v>0</v>
      </c>
      <c r="T79" s="2445">
        <v>0</v>
      </c>
    </row>
    <row r="80" spans="1:20" s="1" customFormat="1" ht="12.75" customHeight="1" x14ac:dyDescent="0.2">
      <c r="A80" s="3994"/>
      <c r="B80" s="4055"/>
      <c r="C80" s="3988"/>
      <c r="D80" s="277" t="s">
        <v>99</v>
      </c>
      <c r="E80" s="2447">
        <v>1063.7</v>
      </c>
      <c r="F80" s="2444">
        <v>155.30000000000001</v>
      </c>
      <c r="G80" s="2444">
        <v>0</v>
      </c>
      <c r="H80" s="2445">
        <v>908.4</v>
      </c>
      <c r="I80" s="2446">
        <v>0</v>
      </c>
      <c r="J80" s="2444">
        <v>0</v>
      </c>
      <c r="K80" s="2444">
        <v>0</v>
      </c>
      <c r="L80" s="2445">
        <v>0</v>
      </c>
      <c r="M80" s="2446">
        <v>0</v>
      </c>
      <c r="N80" s="2444">
        <v>0</v>
      </c>
      <c r="O80" s="2444">
        <v>0</v>
      </c>
      <c r="P80" s="2445">
        <v>0</v>
      </c>
      <c r="Q80" s="2446">
        <v>0</v>
      </c>
      <c r="R80" s="2444">
        <v>0</v>
      </c>
      <c r="S80" s="2444">
        <v>0</v>
      </c>
      <c r="T80" s="2445">
        <v>0</v>
      </c>
    </row>
    <row r="81" spans="1:20" s="1" customFormat="1" ht="12.75" customHeight="1" x14ac:dyDescent="0.2">
      <c r="A81" s="3994"/>
      <c r="B81" s="4055"/>
      <c r="C81" s="3988"/>
      <c r="D81" s="277" t="s">
        <v>32</v>
      </c>
      <c r="E81" s="2447">
        <v>520.70000000000005</v>
      </c>
      <c r="F81" s="2444">
        <v>0</v>
      </c>
      <c r="G81" s="2444">
        <v>0</v>
      </c>
      <c r="H81" s="2445">
        <v>520.70000000000005</v>
      </c>
      <c r="I81" s="2446">
        <v>115</v>
      </c>
      <c r="J81" s="2444">
        <v>0</v>
      </c>
      <c r="K81" s="2444">
        <v>0</v>
      </c>
      <c r="L81" s="2444">
        <v>115</v>
      </c>
      <c r="M81" s="2446">
        <v>0</v>
      </c>
      <c r="N81" s="2444">
        <v>0</v>
      </c>
      <c r="O81" s="2444">
        <v>0</v>
      </c>
      <c r="P81" s="2444">
        <v>0</v>
      </c>
      <c r="Q81" s="2446">
        <v>0</v>
      </c>
      <c r="R81" s="2444">
        <v>0</v>
      </c>
      <c r="S81" s="2444">
        <v>0</v>
      </c>
      <c r="T81" s="2445">
        <v>0</v>
      </c>
    </row>
    <row r="82" spans="1:20" s="1" customFormat="1" ht="12.75" customHeight="1" x14ac:dyDescent="0.2">
      <c r="A82" s="3994"/>
      <c r="B82" s="4055"/>
      <c r="C82" s="3988"/>
      <c r="D82" s="277" t="s">
        <v>681</v>
      </c>
      <c r="E82" s="2446">
        <v>162.19999999999999</v>
      </c>
      <c r="F82" s="2444">
        <v>0</v>
      </c>
      <c r="G82" s="2444">
        <v>0</v>
      </c>
      <c r="H82" s="2444">
        <v>162.19999999999999</v>
      </c>
      <c r="I82" s="2446">
        <v>120</v>
      </c>
      <c r="J82" s="2444">
        <v>100</v>
      </c>
      <c r="K82" s="2444">
        <v>0</v>
      </c>
      <c r="L82" s="2444">
        <v>20</v>
      </c>
      <c r="M82" s="2446"/>
      <c r="N82" s="2444">
        <v>0</v>
      </c>
      <c r="O82" s="2444">
        <v>0</v>
      </c>
      <c r="P82" s="2444">
        <v>0</v>
      </c>
      <c r="Q82" s="2446"/>
      <c r="R82" s="2444">
        <v>0</v>
      </c>
      <c r="S82" s="2444">
        <v>0</v>
      </c>
      <c r="T82" s="2445">
        <v>0</v>
      </c>
    </row>
    <row r="83" spans="1:20" s="1" customFormat="1" ht="12.75" customHeight="1" x14ac:dyDescent="0.2">
      <c r="A83" s="3994"/>
      <c r="B83" s="4055"/>
      <c r="C83" s="3988"/>
      <c r="D83" s="277" t="s">
        <v>412</v>
      </c>
      <c r="E83" s="2447"/>
      <c r="F83" s="2444"/>
      <c r="G83" s="2444"/>
      <c r="H83" s="2448"/>
      <c r="I83" s="2446">
        <v>500</v>
      </c>
      <c r="J83" s="2444"/>
      <c r="K83" s="2444"/>
      <c r="L83" s="2448">
        <v>500</v>
      </c>
      <c r="M83" s="2446"/>
      <c r="N83" s="2444"/>
      <c r="O83" s="2444"/>
      <c r="P83" s="2448"/>
      <c r="Q83" s="2446"/>
      <c r="R83" s="2444"/>
      <c r="S83" s="2444"/>
      <c r="T83" s="2445"/>
    </row>
    <row r="84" spans="1:20" s="1" customFormat="1" ht="13.5" customHeight="1" x14ac:dyDescent="0.2">
      <c r="A84" s="3994"/>
      <c r="B84" s="4055"/>
      <c r="C84" s="3988"/>
      <c r="D84" s="263" t="s">
        <v>34</v>
      </c>
      <c r="E84" s="2447">
        <v>5.7</v>
      </c>
      <c r="F84" s="2444">
        <v>0</v>
      </c>
      <c r="G84" s="2444">
        <v>0</v>
      </c>
      <c r="H84" s="2445">
        <v>5.7</v>
      </c>
      <c r="I84" s="2446">
        <v>5</v>
      </c>
      <c r="J84" s="2444">
        <v>5</v>
      </c>
      <c r="K84" s="2444">
        <v>0</v>
      </c>
      <c r="L84" s="2445">
        <v>0</v>
      </c>
      <c r="M84" s="2446">
        <v>0</v>
      </c>
      <c r="N84" s="2444">
        <v>0</v>
      </c>
      <c r="O84" s="2444">
        <v>0</v>
      </c>
      <c r="P84" s="2445">
        <v>0</v>
      </c>
      <c r="Q84" s="2446">
        <v>0</v>
      </c>
      <c r="R84" s="2444">
        <v>0</v>
      </c>
      <c r="S84" s="2444">
        <v>0</v>
      </c>
      <c r="T84" s="2445">
        <v>0</v>
      </c>
    </row>
    <row r="85" spans="1:20" s="1" customFormat="1" ht="13.5" customHeight="1" x14ac:dyDescent="0.2">
      <c r="A85" s="3994"/>
      <c r="B85" s="4055"/>
      <c r="C85" s="3988"/>
      <c r="D85" s="1513" t="s">
        <v>586</v>
      </c>
      <c r="E85" s="2446">
        <v>0</v>
      </c>
      <c r="F85" s="2444">
        <v>0</v>
      </c>
      <c r="G85" s="2444">
        <v>0</v>
      </c>
      <c r="H85" s="2445">
        <v>0</v>
      </c>
      <c r="I85" s="2446">
        <v>0.6</v>
      </c>
      <c r="J85" s="2444">
        <v>0.6</v>
      </c>
      <c r="K85" s="2444">
        <v>0</v>
      </c>
      <c r="L85" s="2445">
        <v>0</v>
      </c>
      <c r="M85" s="2446">
        <v>0</v>
      </c>
      <c r="N85" s="2444">
        <v>0</v>
      </c>
      <c r="O85" s="2444">
        <v>0</v>
      </c>
      <c r="P85" s="2445"/>
      <c r="Q85" s="2446">
        <v>0</v>
      </c>
      <c r="R85" s="2444">
        <v>0</v>
      </c>
      <c r="S85" s="2444">
        <v>0</v>
      </c>
      <c r="T85" s="2445">
        <v>0</v>
      </c>
    </row>
    <row r="86" spans="1:20" s="1" customFormat="1" ht="13.5" customHeight="1" thickBot="1" x14ac:dyDescent="0.25">
      <c r="A86" s="3995"/>
      <c r="B86" s="4056"/>
      <c r="C86" s="3989"/>
      <c r="D86" s="243" t="s">
        <v>33</v>
      </c>
      <c r="E86" s="2449"/>
      <c r="F86" s="2450"/>
      <c r="G86" s="2450"/>
      <c r="H86" s="2450"/>
      <c r="I86" s="2449"/>
      <c r="J86" s="2450"/>
      <c r="K86" s="2450"/>
      <c r="L86" s="2450"/>
      <c r="M86" s="2449">
        <v>68</v>
      </c>
      <c r="N86" s="2450">
        <v>0</v>
      </c>
      <c r="O86" s="2450"/>
      <c r="P86" s="2450">
        <v>68</v>
      </c>
      <c r="Q86" s="2449">
        <v>50</v>
      </c>
      <c r="R86" s="2450">
        <v>0</v>
      </c>
      <c r="S86" s="2450"/>
      <c r="T86" s="2451">
        <v>50</v>
      </c>
    </row>
    <row r="87" spans="1:20" s="173" customFormat="1" ht="12" thickBot="1" x14ac:dyDescent="0.25">
      <c r="A87" s="4037" t="s">
        <v>208</v>
      </c>
      <c r="B87" s="4017"/>
      <c r="C87" s="4017"/>
      <c r="D87" s="4019"/>
      <c r="E87" s="278">
        <f>SUM(E72:E86)</f>
        <v>9556.2800000000025</v>
      </c>
      <c r="F87" s="256">
        <f t="shared" ref="F87:T87" si="5">SUM(F72:F86)</f>
        <v>2592.4800000000005</v>
      </c>
      <c r="G87" s="256">
        <f t="shared" si="5"/>
        <v>0</v>
      </c>
      <c r="H87" s="279">
        <f t="shared" si="5"/>
        <v>6963.7999999999993</v>
      </c>
      <c r="I87" s="255">
        <f t="shared" si="5"/>
        <v>12760.732</v>
      </c>
      <c r="J87" s="256">
        <f t="shared" si="5"/>
        <v>2573.2000000000003</v>
      </c>
      <c r="K87" s="256">
        <f t="shared" si="5"/>
        <v>9.2999999999999989</v>
      </c>
      <c r="L87" s="257">
        <f t="shared" si="5"/>
        <v>10187.531999999999</v>
      </c>
      <c r="M87" s="255">
        <f t="shared" si="5"/>
        <v>12593.6</v>
      </c>
      <c r="N87" s="256">
        <f t="shared" si="5"/>
        <v>2274.4</v>
      </c>
      <c r="O87" s="256">
        <f t="shared" si="5"/>
        <v>6.8</v>
      </c>
      <c r="P87" s="257">
        <f t="shared" si="5"/>
        <v>10319.200000000001</v>
      </c>
      <c r="Q87" s="255">
        <f t="shared" si="5"/>
        <v>9892.5</v>
      </c>
      <c r="R87" s="256">
        <f t="shared" si="5"/>
        <v>2267.5</v>
      </c>
      <c r="S87" s="256">
        <f t="shared" si="5"/>
        <v>0</v>
      </c>
      <c r="T87" s="257">
        <f t="shared" si="5"/>
        <v>7625</v>
      </c>
    </row>
    <row r="88" spans="1:20" s="1" customFormat="1" ht="11.25" customHeight="1" thickBot="1" x14ac:dyDescent="0.25">
      <c r="A88" s="4038">
        <v>3</v>
      </c>
      <c r="B88" s="4039">
        <v>7</v>
      </c>
      <c r="C88" s="4042" t="s">
        <v>1311</v>
      </c>
      <c r="D88" s="259" t="s">
        <v>30</v>
      </c>
      <c r="E88" s="48">
        <v>3385.7</v>
      </c>
      <c r="F88" s="280">
        <v>3149.5000000000005</v>
      </c>
      <c r="G88" s="280">
        <v>2499.2000000000003</v>
      </c>
      <c r="H88" s="280">
        <v>236.2</v>
      </c>
      <c r="I88" s="48">
        <v>5160.1000000000004</v>
      </c>
      <c r="J88" s="280">
        <v>4233.4000000000005</v>
      </c>
      <c r="K88" s="280">
        <v>2954.7</v>
      </c>
      <c r="L88" s="280">
        <v>926.69999999999993</v>
      </c>
      <c r="M88" s="48">
        <v>6470.5</v>
      </c>
      <c r="N88" s="280">
        <v>4168.5</v>
      </c>
      <c r="O88" s="280">
        <v>2982.7999999999997</v>
      </c>
      <c r="P88" s="280">
        <v>2302</v>
      </c>
      <c r="Q88" s="48">
        <v>4563</v>
      </c>
      <c r="R88" s="280">
        <v>4233</v>
      </c>
      <c r="S88" s="280">
        <v>2982.7999999999997</v>
      </c>
      <c r="T88" s="29">
        <v>330</v>
      </c>
    </row>
    <row r="89" spans="1:20" s="1" customFormat="1" ht="12" customHeight="1" thickBot="1" x14ac:dyDescent="0.25">
      <c r="A89" s="4038"/>
      <c r="B89" s="4040"/>
      <c r="C89" s="4043"/>
      <c r="D89" s="242" t="s">
        <v>34</v>
      </c>
      <c r="E89" s="49">
        <v>316.10000000000002</v>
      </c>
      <c r="F89" s="17">
        <v>312.2</v>
      </c>
      <c r="G89" s="17">
        <v>118</v>
      </c>
      <c r="H89" s="17">
        <v>3.9</v>
      </c>
      <c r="I89" s="49">
        <v>341.90000000000003</v>
      </c>
      <c r="J89" s="17">
        <v>338.1</v>
      </c>
      <c r="K89" s="17">
        <v>131.4</v>
      </c>
      <c r="L89" s="17">
        <v>3.8</v>
      </c>
      <c r="M89" s="49">
        <v>334.8</v>
      </c>
      <c r="N89" s="17">
        <v>334.8</v>
      </c>
      <c r="O89" s="17">
        <v>131.4</v>
      </c>
      <c r="P89" s="9">
        <v>0</v>
      </c>
      <c r="Q89" s="49">
        <v>344.6</v>
      </c>
      <c r="R89" s="17">
        <v>344.6</v>
      </c>
      <c r="S89" s="17">
        <v>131.4</v>
      </c>
      <c r="T89" s="9">
        <v>0</v>
      </c>
    </row>
    <row r="90" spans="1:20" s="1" customFormat="1" ht="12" customHeight="1" thickBot="1" x14ac:dyDescent="0.25">
      <c r="A90" s="4038"/>
      <c r="B90" s="4040"/>
      <c r="C90" s="4043"/>
      <c r="D90" s="242" t="s">
        <v>111</v>
      </c>
      <c r="E90" s="49">
        <v>72.5</v>
      </c>
      <c r="F90" s="17">
        <v>29.1</v>
      </c>
      <c r="G90" s="17">
        <v>19.600000000000001</v>
      </c>
      <c r="H90" s="51">
        <v>43.4</v>
      </c>
      <c r="I90" s="49">
        <v>380.9</v>
      </c>
      <c r="J90" s="17">
        <v>31.5</v>
      </c>
      <c r="K90" s="17">
        <v>12.9</v>
      </c>
      <c r="L90" s="51">
        <v>349.4</v>
      </c>
      <c r="M90" s="49">
        <v>0</v>
      </c>
      <c r="N90" s="17">
        <v>0</v>
      </c>
      <c r="O90" s="17">
        <v>0</v>
      </c>
      <c r="P90" s="51">
        <v>0</v>
      </c>
      <c r="Q90" s="49">
        <v>0</v>
      </c>
      <c r="R90" s="17">
        <v>0</v>
      </c>
      <c r="S90" s="17">
        <v>0</v>
      </c>
      <c r="T90" s="9">
        <v>0</v>
      </c>
    </row>
    <row r="91" spans="1:20" s="1" customFormat="1" ht="12" customHeight="1" thickBot="1" x14ac:dyDescent="0.25">
      <c r="A91" s="4038"/>
      <c r="B91" s="4040"/>
      <c r="C91" s="4043"/>
      <c r="D91" s="242" t="s">
        <v>244</v>
      </c>
      <c r="E91" s="49">
        <v>0</v>
      </c>
      <c r="F91" s="17">
        <v>0</v>
      </c>
      <c r="G91" s="17">
        <v>0</v>
      </c>
      <c r="H91" s="51">
        <v>0</v>
      </c>
      <c r="I91" s="5">
        <v>0</v>
      </c>
      <c r="J91" s="17">
        <v>0</v>
      </c>
      <c r="K91" s="17">
        <v>0</v>
      </c>
      <c r="L91" s="51">
        <v>0</v>
      </c>
      <c r="M91" s="5">
        <v>0</v>
      </c>
      <c r="N91" s="17">
        <v>0</v>
      </c>
      <c r="O91" s="17">
        <v>0</v>
      </c>
      <c r="P91" s="51">
        <v>0</v>
      </c>
      <c r="Q91" s="5">
        <v>0</v>
      </c>
      <c r="R91" s="17">
        <v>0</v>
      </c>
      <c r="S91" s="17">
        <v>0</v>
      </c>
      <c r="T91" s="9">
        <v>0</v>
      </c>
    </row>
    <row r="92" spans="1:20" s="1" customFormat="1" ht="12" customHeight="1" thickBot="1" x14ac:dyDescent="0.25">
      <c r="A92" s="4038"/>
      <c r="B92" s="4040"/>
      <c r="C92" s="4043"/>
      <c r="D92" s="2033" t="s">
        <v>116</v>
      </c>
      <c r="E92" s="49"/>
      <c r="F92" s="17">
        <v>0</v>
      </c>
      <c r="G92" s="17">
        <v>0</v>
      </c>
      <c r="H92" s="51">
        <v>0</v>
      </c>
      <c r="I92" s="49">
        <v>700</v>
      </c>
      <c r="J92" s="17">
        <v>0</v>
      </c>
      <c r="K92" s="17">
        <v>0</v>
      </c>
      <c r="L92" s="51">
        <v>700</v>
      </c>
      <c r="M92" s="49"/>
      <c r="N92" s="17">
        <v>0</v>
      </c>
      <c r="O92" s="17">
        <v>0</v>
      </c>
      <c r="P92" s="51">
        <v>0</v>
      </c>
      <c r="Q92" s="49"/>
      <c r="R92" s="17">
        <v>0</v>
      </c>
      <c r="S92" s="17">
        <v>0</v>
      </c>
      <c r="T92" s="9">
        <v>0</v>
      </c>
    </row>
    <row r="93" spans="1:20" s="1" customFormat="1" ht="12" customHeight="1" thickBot="1" x14ac:dyDescent="0.25">
      <c r="A93" s="4038"/>
      <c r="B93" s="4040"/>
      <c r="C93" s="4043"/>
      <c r="D93" s="2033" t="s">
        <v>202</v>
      </c>
      <c r="E93" s="281">
        <v>0</v>
      </c>
      <c r="F93" s="17">
        <v>0</v>
      </c>
      <c r="G93" s="17">
        <v>0</v>
      </c>
      <c r="H93" s="282">
        <v>0</v>
      </c>
      <c r="I93" s="281">
        <v>0</v>
      </c>
      <c r="J93" s="17">
        <v>0</v>
      </c>
      <c r="K93" s="17">
        <v>0</v>
      </c>
      <c r="L93" s="282">
        <v>0</v>
      </c>
      <c r="M93" s="281">
        <v>0</v>
      </c>
      <c r="N93" s="17">
        <v>0</v>
      </c>
      <c r="O93" s="17">
        <v>0</v>
      </c>
      <c r="P93" s="282">
        <v>0</v>
      </c>
      <c r="Q93" s="281">
        <v>0</v>
      </c>
      <c r="R93" s="17">
        <v>0</v>
      </c>
      <c r="S93" s="17">
        <v>0</v>
      </c>
      <c r="T93" s="9">
        <v>0</v>
      </c>
    </row>
    <row r="94" spans="1:20" s="1" customFormat="1" ht="12" customHeight="1" thickBot="1" x14ac:dyDescent="0.25">
      <c r="A94" s="4038"/>
      <c r="B94" s="4040"/>
      <c r="C94" s="4043"/>
      <c r="D94" s="2033" t="s">
        <v>112</v>
      </c>
      <c r="E94" s="281">
        <v>8.5</v>
      </c>
      <c r="F94" s="17">
        <v>0.8</v>
      </c>
      <c r="G94" s="17">
        <v>0.3</v>
      </c>
      <c r="H94" s="282">
        <v>7.7</v>
      </c>
      <c r="I94" s="281">
        <v>20.399999999999999</v>
      </c>
      <c r="J94" s="17">
        <v>0</v>
      </c>
      <c r="K94" s="17">
        <v>0</v>
      </c>
      <c r="L94" s="282">
        <v>20.399999999999999</v>
      </c>
      <c r="M94" s="281">
        <v>0</v>
      </c>
      <c r="N94" s="17">
        <v>0</v>
      </c>
      <c r="O94" s="17">
        <v>0</v>
      </c>
      <c r="P94" s="282">
        <v>0</v>
      </c>
      <c r="Q94" s="281">
        <v>0</v>
      </c>
      <c r="R94" s="17">
        <v>0</v>
      </c>
      <c r="S94" s="17">
        <v>0</v>
      </c>
      <c r="T94" s="9">
        <v>0</v>
      </c>
    </row>
    <row r="95" spans="1:20" s="1" customFormat="1" ht="12" customHeight="1" thickBot="1" x14ac:dyDescent="0.25">
      <c r="A95" s="4038"/>
      <c r="B95" s="4041"/>
      <c r="C95" s="4044"/>
      <c r="D95" s="2034" t="s">
        <v>99</v>
      </c>
      <c r="E95" s="281"/>
      <c r="F95" s="17"/>
      <c r="G95" s="17"/>
      <c r="H95" s="282"/>
      <c r="I95" s="281">
        <v>0</v>
      </c>
      <c r="J95" s="17">
        <v>0</v>
      </c>
      <c r="K95" s="17">
        <v>0</v>
      </c>
      <c r="L95" s="282">
        <v>0</v>
      </c>
      <c r="M95" s="281">
        <v>0</v>
      </c>
      <c r="N95" s="17">
        <v>0</v>
      </c>
      <c r="O95" s="17">
        <v>0</v>
      </c>
      <c r="P95" s="282">
        <v>0</v>
      </c>
      <c r="Q95" s="281">
        <v>0</v>
      </c>
      <c r="R95" s="17">
        <v>0</v>
      </c>
      <c r="S95" s="17">
        <v>0</v>
      </c>
      <c r="T95" s="9">
        <v>0</v>
      </c>
    </row>
    <row r="96" spans="1:20" s="1" customFormat="1" ht="12" customHeight="1" thickBot="1" x14ac:dyDescent="0.25">
      <c r="A96" s="4038"/>
      <c r="B96" s="4041"/>
      <c r="C96" s="4044"/>
      <c r="D96" s="2034" t="s">
        <v>32</v>
      </c>
      <c r="E96" s="281">
        <v>0.80000000000001137</v>
      </c>
      <c r="F96" s="17"/>
      <c r="G96" s="17">
        <v>0</v>
      </c>
      <c r="H96" s="282">
        <v>0.80000000000001137</v>
      </c>
      <c r="I96" s="281"/>
      <c r="J96" s="17"/>
      <c r="K96" s="17"/>
      <c r="L96" s="17">
        <v>0</v>
      </c>
      <c r="M96" s="281"/>
      <c r="N96" s="17"/>
      <c r="O96" s="17"/>
      <c r="P96" s="282">
        <v>0</v>
      </c>
      <c r="Q96" s="281"/>
      <c r="R96" s="17"/>
      <c r="S96" s="17"/>
      <c r="T96" s="9">
        <v>0</v>
      </c>
    </row>
    <row r="97" spans="1:20" s="1" customFormat="1" ht="12" customHeight="1" thickBot="1" x14ac:dyDescent="0.25">
      <c r="A97" s="4038"/>
      <c r="B97" s="4041"/>
      <c r="C97" s="4044"/>
      <c r="D97" s="243" t="s">
        <v>509</v>
      </c>
      <c r="E97" s="5">
        <v>0</v>
      </c>
      <c r="F97" s="17">
        <v>0</v>
      </c>
      <c r="G97" s="17">
        <v>0</v>
      </c>
      <c r="H97" s="17">
        <v>0</v>
      </c>
      <c r="I97" s="5"/>
      <c r="J97" s="17">
        <v>0</v>
      </c>
      <c r="K97" s="17">
        <v>0</v>
      </c>
      <c r="L97" s="17">
        <v>0</v>
      </c>
      <c r="M97" s="5"/>
      <c r="N97" s="17">
        <v>0</v>
      </c>
      <c r="O97" s="17">
        <v>0</v>
      </c>
      <c r="P97" s="17">
        <v>0</v>
      </c>
      <c r="Q97" s="5"/>
      <c r="R97" s="17">
        <v>0</v>
      </c>
      <c r="S97" s="17">
        <v>0</v>
      </c>
      <c r="T97" s="9">
        <v>0</v>
      </c>
    </row>
    <row r="98" spans="1:20" s="1" customFormat="1" ht="12" customHeight="1" thickBot="1" x14ac:dyDescent="0.25">
      <c r="A98" s="4038"/>
      <c r="B98" s="4041"/>
      <c r="C98" s="4044"/>
      <c r="D98" s="243" t="s">
        <v>33</v>
      </c>
      <c r="E98" s="5">
        <v>104.19999999999999</v>
      </c>
      <c r="F98" s="17">
        <v>34</v>
      </c>
      <c r="G98" s="17">
        <v>33.099999999999994</v>
      </c>
      <c r="H98" s="17">
        <v>70.2</v>
      </c>
      <c r="I98" s="5">
        <v>107.2</v>
      </c>
      <c r="J98" s="17">
        <v>29.5</v>
      </c>
      <c r="K98" s="17">
        <v>29.5</v>
      </c>
      <c r="L98" s="17">
        <v>77.7</v>
      </c>
      <c r="M98" s="5">
        <v>0</v>
      </c>
      <c r="N98" s="17">
        <v>0</v>
      </c>
      <c r="O98" s="17">
        <v>0</v>
      </c>
      <c r="P98" s="17">
        <v>0</v>
      </c>
      <c r="Q98" s="5">
        <v>0</v>
      </c>
      <c r="R98" s="17">
        <v>0</v>
      </c>
      <c r="S98" s="17">
        <v>0</v>
      </c>
      <c r="T98" s="9">
        <v>0</v>
      </c>
    </row>
    <row r="99" spans="1:20" s="1" customFormat="1" ht="10.9" customHeight="1" thickBot="1" x14ac:dyDescent="0.25">
      <c r="A99" s="4038"/>
      <c r="B99" s="4041"/>
      <c r="C99" s="4044"/>
      <c r="D99" s="243" t="s">
        <v>192</v>
      </c>
      <c r="E99" s="5">
        <v>0</v>
      </c>
      <c r="F99" s="17">
        <v>0</v>
      </c>
      <c r="G99" s="17">
        <v>0</v>
      </c>
      <c r="H99" s="17">
        <v>0</v>
      </c>
      <c r="I99" s="5">
        <v>557</v>
      </c>
      <c r="J99" s="17">
        <v>0</v>
      </c>
      <c r="K99" s="17">
        <v>0</v>
      </c>
      <c r="L99" s="17">
        <v>557</v>
      </c>
      <c r="M99" s="5">
        <v>450</v>
      </c>
      <c r="N99" s="17">
        <v>0</v>
      </c>
      <c r="O99" s="17">
        <v>0</v>
      </c>
      <c r="P99" s="17">
        <v>450</v>
      </c>
      <c r="Q99" s="30">
        <v>100</v>
      </c>
      <c r="R99" s="32">
        <v>0</v>
      </c>
      <c r="S99" s="32">
        <v>0</v>
      </c>
      <c r="T99" s="31">
        <v>100</v>
      </c>
    </row>
    <row r="100" spans="1:20" s="173" customFormat="1" ht="12" thickBot="1" x14ac:dyDescent="0.25">
      <c r="A100" s="4037" t="s">
        <v>208</v>
      </c>
      <c r="B100" s="4017"/>
      <c r="C100" s="4017"/>
      <c r="D100" s="4019"/>
      <c r="E100" s="283">
        <f t="shared" ref="E100:T100" si="6">SUM(E88:E99)</f>
        <v>3887.7999999999997</v>
      </c>
      <c r="F100" s="279">
        <f t="shared" si="6"/>
        <v>3525.6000000000004</v>
      </c>
      <c r="G100" s="279">
        <f t="shared" si="6"/>
        <v>2670.2000000000003</v>
      </c>
      <c r="H100" s="279">
        <f t="shared" si="6"/>
        <v>362.2</v>
      </c>
      <c r="I100" s="276">
        <f t="shared" si="6"/>
        <v>7267.4999999999991</v>
      </c>
      <c r="J100" s="279">
        <f t="shared" si="6"/>
        <v>4632.5000000000009</v>
      </c>
      <c r="K100" s="279">
        <f t="shared" si="6"/>
        <v>3128.5</v>
      </c>
      <c r="L100" s="257">
        <f t="shared" si="6"/>
        <v>2635</v>
      </c>
      <c r="M100" s="276">
        <f t="shared" si="6"/>
        <v>7255.3</v>
      </c>
      <c r="N100" s="279">
        <f t="shared" si="6"/>
        <v>4503.3</v>
      </c>
      <c r="O100" s="279">
        <f t="shared" si="6"/>
        <v>3114.2</v>
      </c>
      <c r="P100" s="257">
        <f t="shared" si="6"/>
        <v>2752</v>
      </c>
      <c r="Q100" s="276">
        <f t="shared" si="6"/>
        <v>5007.6000000000004</v>
      </c>
      <c r="R100" s="279">
        <f t="shared" si="6"/>
        <v>4577.6000000000004</v>
      </c>
      <c r="S100" s="279">
        <f t="shared" si="6"/>
        <v>3114.2</v>
      </c>
      <c r="T100" s="257">
        <f t="shared" si="6"/>
        <v>430</v>
      </c>
    </row>
    <row r="101" spans="1:20" s="1" customFormat="1" ht="10.5" customHeight="1" x14ac:dyDescent="0.2">
      <c r="A101" s="3993">
        <v>3</v>
      </c>
      <c r="B101" s="3990">
        <v>8</v>
      </c>
      <c r="C101" s="3987" t="s">
        <v>1312</v>
      </c>
      <c r="D101" s="259" t="s">
        <v>1313</v>
      </c>
      <c r="E101" s="218">
        <v>2009</v>
      </c>
      <c r="F101" s="219">
        <v>1342.3</v>
      </c>
      <c r="G101" s="219">
        <v>720.9</v>
      </c>
      <c r="H101" s="219">
        <v>666.7</v>
      </c>
      <c r="I101" s="218">
        <v>2481.6000000000004</v>
      </c>
      <c r="J101" s="219">
        <v>1561.4</v>
      </c>
      <c r="K101" s="219">
        <v>834.7</v>
      </c>
      <c r="L101" s="219">
        <v>920.2</v>
      </c>
      <c r="M101" s="218">
        <v>4903.2000000000007</v>
      </c>
      <c r="N101" s="219">
        <v>1562.4</v>
      </c>
      <c r="O101" s="219">
        <v>845.7</v>
      </c>
      <c r="P101" s="219">
        <v>3340.8</v>
      </c>
      <c r="Q101" s="219">
        <v>6774.4</v>
      </c>
      <c r="R101" s="219">
        <v>1574.4</v>
      </c>
      <c r="S101" s="219">
        <v>857.7</v>
      </c>
      <c r="T101" s="284">
        <v>5200</v>
      </c>
    </row>
    <row r="102" spans="1:20" s="1" customFormat="1" ht="12.6" customHeight="1" x14ac:dyDescent="0.2">
      <c r="A102" s="3994"/>
      <c r="B102" s="3991"/>
      <c r="C102" s="3988"/>
      <c r="D102" s="242" t="s">
        <v>34</v>
      </c>
      <c r="E102" s="106">
        <v>50</v>
      </c>
      <c r="F102" s="107">
        <v>50</v>
      </c>
      <c r="G102" s="107">
        <v>18.3</v>
      </c>
      <c r="H102" s="109">
        <v>0</v>
      </c>
      <c r="I102" s="106">
        <v>60</v>
      </c>
      <c r="J102" s="107">
        <v>60</v>
      </c>
      <c r="K102" s="107">
        <v>22</v>
      </c>
      <c r="L102" s="109">
        <v>0</v>
      </c>
      <c r="M102" s="106">
        <v>60</v>
      </c>
      <c r="N102" s="107">
        <v>60</v>
      </c>
      <c r="O102" s="107">
        <v>22</v>
      </c>
      <c r="P102" s="109">
        <v>0</v>
      </c>
      <c r="Q102" s="106">
        <v>60</v>
      </c>
      <c r="R102" s="107">
        <v>60</v>
      </c>
      <c r="S102" s="107">
        <v>22</v>
      </c>
      <c r="T102" s="109">
        <v>0</v>
      </c>
    </row>
    <row r="103" spans="1:20" s="1" customFormat="1" ht="12.6" customHeight="1" x14ac:dyDescent="0.2">
      <c r="A103" s="3994"/>
      <c r="B103" s="3991"/>
      <c r="C103" s="3988"/>
      <c r="D103" s="242" t="s">
        <v>202</v>
      </c>
      <c r="E103" s="106">
        <v>487</v>
      </c>
      <c r="F103" s="107">
        <v>487</v>
      </c>
      <c r="G103" s="107">
        <v>74.5</v>
      </c>
      <c r="H103" s="109">
        <v>0</v>
      </c>
      <c r="I103" s="106">
        <v>717</v>
      </c>
      <c r="J103" s="107">
        <v>517</v>
      </c>
      <c r="K103" s="107">
        <v>74.5</v>
      </c>
      <c r="L103" s="109">
        <v>200</v>
      </c>
      <c r="M103" s="106">
        <v>517</v>
      </c>
      <c r="N103" s="107">
        <v>517</v>
      </c>
      <c r="O103" s="107">
        <v>74.5</v>
      </c>
      <c r="P103" s="109">
        <v>0</v>
      </c>
      <c r="Q103" s="106">
        <v>517</v>
      </c>
      <c r="R103" s="107">
        <v>517</v>
      </c>
      <c r="S103" s="107">
        <v>74.5</v>
      </c>
      <c r="T103" s="109">
        <v>0</v>
      </c>
    </row>
    <row r="104" spans="1:20" s="1" customFormat="1" ht="12.6" customHeight="1" x14ac:dyDescent="0.2">
      <c r="A104" s="3994"/>
      <c r="B104" s="3991"/>
      <c r="C104" s="3988"/>
      <c r="D104" s="243" t="s">
        <v>634</v>
      </c>
      <c r="E104" s="106">
        <v>0</v>
      </c>
      <c r="F104" s="107">
        <v>0</v>
      </c>
      <c r="G104" s="107">
        <v>0</v>
      </c>
      <c r="H104" s="109">
        <v>0</v>
      </c>
      <c r="I104" s="106">
        <v>0</v>
      </c>
      <c r="J104" s="107">
        <v>0</v>
      </c>
      <c r="K104" s="107">
        <v>0</v>
      </c>
      <c r="L104" s="109">
        <v>0</v>
      </c>
      <c r="M104" s="106">
        <v>0</v>
      </c>
      <c r="N104" s="107">
        <v>0</v>
      </c>
      <c r="O104" s="107">
        <v>0</v>
      </c>
      <c r="P104" s="109">
        <v>0</v>
      </c>
      <c r="Q104" s="106">
        <v>0</v>
      </c>
      <c r="R104" s="107">
        <v>0</v>
      </c>
      <c r="S104" s="107">
        <v>0</v>
      </c>
      <c r="T104" s="109">
        <v>0</v>
      </c>
    </row>
    <row r="105" spans="1:20" s="1" customFormat="1" ht="12.6" customHeight="1" x14ac:dyDescent="0.2">
      <c r="A105" s="3994"/>
      <c r="B105" s="3991"/>
      <c r="C105" s="3988"/>
      <c r="D105" s="243" t="s">
        <v>111</v>
      </c>
      <c r="E105" s="106">
        <v>114.6</v>
      </c>
      <c r="F105" s="107">
        <v>0</v>
      </c>
      <c r="G105" s="107">
        <v>0</v>
      </c>
      <c r="H105" s="108">
        <v>114.6</v>
      </c>
      <c r="I105" s="106">
        <v>0</v>
      </c>
      <c r="J105" s="107">
        <v>0</v>
      </c>
      <c r="K105" s="107">
        <v>0</v>
      </c>
      <c r="L105" s="109">
        <v>0</v>
      </c>
      <c r="M105" s="106">
        <v>0</v>
      </c>
      <c r="N105" s="107">
        <v>0</v>
      </c>
      <c r="O105" s="107">
        <v>0</v>
      </c>
      <c r="P105" s="109">
        <v>0</v>
      </c>
      <c r="Q105" s="106">
        <v>0</v>
      </c>
      <c r="R105" s="107">
        <v>0</v>
      </c>
      <c r="S105" s="107">
        <v>0</v>
      </c>
      <c r="T105" s="109">
        <v>0</v>
      </c>
    </row>
    <row r="106" spans="1:20" s="1" customFormat="1" ht="12.6" customHeight="1" x14ac:dyDescent="0.2">
      <c r="A106" s="3994"/>
      <c r="B106" s="3991"/>
      <c r="C106" s="3988"/>
      <c r="D106" s="243" t="s">
        <v>112</v>
      </c>
      <c r="E106" s="106">
        <v>20.2</v>
      </c>
      <c r="F106" s="107">
        <v>0</v>
      </c>
      <c r="G106" s="107">
        <v>0</v>
      </c>
      <c r="H106" s="109">
        <v>20.2</v>
      </c>
      <c r="I106" s="106">
        <v>0</v>
      </c>
      <c r="J106" s="107">
        <v>0</v>
      </c>
      <c r="K106" s="107">
        <v>0</v>
      </c>
      <c r="L106" s="109">
        <v>0</v>
      </c>
      <c r="M106" s="106">
        <v>0</v>
      </c>
      <c r="N106" s="107">
        <v>0</v>
      </c>
      <c r="O106" s="107">
        <v>0</v>
      </c>
      <c r="P106" s="109">
        <v>0</v>
      </c>
      <c r="Q106" s="106">
        <v>0</v>
      </c>
      <c r="R106" s="107">
        <v>0</v>
      </c>
      <c r="S106" s="107">
        <v>0</v>
      </c>
      <c r="T106" s="109">
        <v>0</v>
      </c>
    </row>
    <row r="107" spans="1:20" s="1" customFormat="1" ht="12.6" customHeight="1" x14ac:dyDescent="0.2">
      <c r="A107" s="3994"/>
      <c r="B107" s="3991"/>
      <c r="C107" s="3988"/>
      <c r="D107" s="243" t="s">
        <v>192</v>
      </c>
      <c r="E107" s="285">
        <v>0</v>
      </c>
      <c r="F107" s="286">
        <v>0</v>
      </c>
      <c r="G107" s="286">
        <v>0</v>
      </c>
      <c r="H107" s="286">
        <v>0</v>
      </c>
      <c r="I107" s="106">
        <v>0</v>
      </c>
      <c r="J107" s="107">
        <v>0</v>
      </c>
      <c r="K107" s="107">
        <v>0</v>
      </c>
      <c r="L107" s="109">
        <v>0</v>
      </c>
      <c r="M107" s="220">
        <v>0</v>
      </c>
      <c r="N107" s="107">
        <v>0</v>
      </c>
      <c r="O107" s="107">
        <v>0</v>
      </c>
      <c r="P107" s="108">
        <v>0</v>
      </c>
      <c r="Q107" s="106">
        <v>841</v>
      </c>
      <c r="R107" s="107">
        <v>0</v>
      </c>
      <c r="S107" s="107">
        <v>0</v>
      </c>
      <c r="T107" s="109">
        <v>841</v>
      </c>
    </row>
    <row r="108" spans="1:20" s="1" customFormat="1" ht="13.15" customHeight="1" x14ac:dyDescent="0.2">
      <c r="A108" s="3994"/>
      <c r="B108" s="3991"/>
      <c r="C108" s="3988"/>
      <c r="D108" s="243" t="s">
        <v>99</v>
      </c>
      <c r="E108" s="106">
        <v>0</v>
      </c>
      <c r="F108" s="107">
        <v>0</v>
      </c>
      <c r="G108" s="107">
        <v>0</v>
      </c>
      <c r="H108" s="109">
        <v>0</v>
      </c>
      <c r="I108" s="106">
        <v>0</v>
      </c>
      <c r="J108" s="107">
        <v>0</v>
      </c>
      <c r="K108" s="107">
        <v>0</v>
      </c>
      <c r="L108" s="107">
        <v>0</v>
      </c>
      <c r="M108" s="106">
        <v>0</v>
      </c>
      <c r="N108" s="107">
        <v>0</v>
      </c>
      <c r="O108" s="107">
        <v>0</v>
      </c>
      <c r="P108" s="107">
        <v>0</v>
      </c>
      <c r="Q108" s="106">
        <v>0</v>
      </c>
      <c r="R108" s="107">
        <v>0</v>
      </c>
      <c r="S108" s="107">
        <v>0</v>
      </c>
      <c r="T108" s="109">
        <v>0</v>
      </c>
    </row>
    <row r="109" spans="1:20" s="1" customFormat="1" ht="13.15" customHeight="1" thickBot="1" x14ac:dyDescent="0.25">
      <c r="A109" s="3995"/>
      <c r="B109" s="3992"/>
      <c r="C109" s="3989"/>
      <c r="D109" s="243" t="s">
        <v>33</v>
      </c>
      <c r="E109" s="116">
        <v>0</v>
      </c>
      <c r="F109" s="114">
        <v>0</v>
      </c>
      <c r="G109" s="114">
        <v>0</v>
      </c>
      <c r="H109" s="115">
        <v>0</v>
      </c>
      <c r="I109" s="116">
        <v>4</v>
      </c>
      <c r="J109" s="114">
        <v>4</v>
      </c>
      <c r="K109" s="114">
        <v>4</v>
      </c>
      <c r="L109" s="114">
        <v>0</v>
      </c>
      <c r="M109" s="116">
        <v>4</v>
      </c>
      <c r="N109" s="114">
        <v>4</v>
      </c>
      <c r="O109" s="114">
        <v>4</v>
      </c>
      <c r="P109" s="114">
        <v>0</v>
      </c>
      <c r="Q109" s="116">
        <v>4</v>
      </c>
      <c r="R109" s="114">
        <v>4</v>
      </c>
      <c r="S109" s="114">
        <v>4</v>
      </c>
      <c r="T109" s="115">
        <v>0</v>
      </c>
    </row>
    <row r="110" spans="1:20" s="173" customFormat="1" ht="12" thickBot="1" x14ac:dyDescent="0.25">
      <c r="A110" s="4016" t="s">
        <v>208</v>
      </c>
      <c r="B110" s="4017"/>
      <c r="C110" s="4018"/>
      <c r="D110" s="4019"/>
      <c r="E110" s="287">
        <f>SUM(E101:E109)</f>
        <v>2680.7999999999997</v>
      </c>
      <c r="F110" s="288">
        <f t="shared" ref="F110:T110" si="7">SUM(F101:F109)</f>
        <v>1879.3</v>
      </c>
      <c r="G110" s="288">
        <f t="shared" si="7"/>
        <v>813.69999999999993</v>
      </c>
      <c r="H110" s="288">
        <f t="shared" si="7"/>
        <v>801.50000000000011</v>
      </c>
      <c r="I110" s="287">
        <f t="shared" si="7"/>
        <v>3262.6000000000004</v>
      </c>
      <c r="J110" s="288">
        <f t="shared" si="7"/>
        <v>2142.4</v>
      </c>
      <c r="K110" s="288">
        <f t="shared" si="7"/>
        <v>935.2</v>
      </c>
      <c r="L110" s="288">
        <f t="shared" si="7"/>
        <v>1120.2</v>
      </c>
      <c r="M110" s="287">
        <f t="shared" si="7"/>
        <v>5484.2000000000007</v>
      </c>
      <c r="N110" s="288">
        <f t="shared" si="7"/>
        <v>2143.4</v>
      </c>
      <c r="O110" s="288">
        <f t="shared" si="7"/>
        <v>946.2</v>
      </c>
      <c r="P110" s="288">
        <f t="shared" si="7"/>
        <v>3340.8</v>
      </c>
      <c r="Q110" s="287">
        <f t="shared" si="7"/>
        <v>8196.4</v>
      </c>
      <c r="R110" s="288">
        <f t="shared" si="7"/>
        <v>2155.4</v>
      </c>
      <c r="S110" s="288">
        <f t="shared" si="7"/>
        <v>958.2</v>
      </c>
      <c r="T110" s="289">
        <f t="shared" si="7"/>
        <v>6041</v>
      </c>
    </row>
    <row r="111" spans="1:20" s="1" customFormat="1" ht="11.25" customHeight="1" x14ac:dyDescent="0.2">
      <c r="A111" s="4020">
        <v>4</v>
      </c>
      <c r="B111" s="4023">
        <v>9</v>
      </c>
      <c r="C111" s="4026" t="s">
        <v>1314</v>
      </c>
      <c r="D111" s="264" t="s">
        <v>30</v>
      </c>
      <c r="E111" s="290">
        <v>7050.2999999999975</v>
      </c>
      <c r="F111" s="222">
        <v>6274.6999999999971</v>
      </c>
      <c r="G111" s="222">
        <v>4869.4000000000015</v>
      </c>
      <c r="H111" s="291">
        <v>775.6</v>
      </c>
      <c r="I111" s="290">
        <v>10842.300000000001</v>
      </c>
      <c r="J111" s="222">
        <v>9405.9000000000015</v>
      </c>
      <c r="K111" s="222">
        <v>6749.1000000000022</v>
      </c>
      <c r="L111" s="222">
        <v>1436.4</v>
      </c>
      <c r="M111" s="290">
        <v>11796.900000000001</v>
      </c>
      <c r="N111" s="222">
        <v>8659.1</v>
      </c>
      <c r="O111" s="222">
        <v>6545.7999999999993</v>
      </c>
      <c r="P111" s="222">
        <v>3137.8</v>
      </c>
      <c r="Q111" s="290">
        <v>10309.200000000001</v>
      </c>
      <c r="R111" s="222">
        <v>8659.1</v>
      </c>
      <c r="S111" s="222">
        <v>6545.7999999999993</v>
      </c>
      <c r="T111" s="320">
        <v>1650.1</v>
      </c>
    </row>
    <row r="112" spans="1:20" s="1" customFormat="1" ht="12.75" customHeight="1" x14ac:dyDescent="0.2">
      <c r="A112" s="4021"/>
      <c r="B112" s="4024"/>
      <c r="C112" s="4027"/>
      <c r="D112" s="263" t="s">
        <v>33</v>
      </c>
      <c r="E112" s="292">
        <v>1269.0000000000005</v>
      </c>
      <c r="F112" s="223">
        <v>1269.0000000000005</v>
      </c>
      <c r="G112" s="223">
        <v>1177.5999999999999</v>
      </c>
      <c r="H112" s="224">
        <v>0</v>
      </c>
      <c r="I112" s="292">
        <v>1362.9</v>
      </c>
      <c r="J112" s="223">
        <v>1362.9</v>
      </c>
      <c r="K112" s="223">
        <v>1267.0999999999999</v>
      </c>
      <c r="L112" s="226">
        <v>0</v>
      </c>
      <c r="M112" s="292">
        <v>1335.9</v>
      </c>
      <c r="N112" s="223">
        <v>1335.9</v>
      </c>
      <c r="O112" s="223">
        <v>1194.1000000000001</v>
      </c>
      <c r="P112" s="224">
        <v>0</v>
      </c>
      <c r="Q112" s="292">
        <v>1335.9</v>
      </c>
      <c r="R112" s="223">
        <v>1335.9</v>
      </c>
      <c r="S112" s="223">
        <v>1194.1000000000001</v>
      </c>
      <c r="T112" s="226">
        <v>0</v>
      </c>
    </row>
    <row r="113" spans="1:20" s="1" customFormat="1" ht="12.75" customHeight="1" x14ac:dyDescent="0.2">
      <c r="A113" s="4021"/>
      <c r="B113" s="4024"/>
      <c r="C113" s="4027"/>
      <c r="D113" s="263" t="s">
        <v>116</v>
      </c>
      <c r="E113" s="292">
        <v>968.2</v>
      </c>
      <c r="F113" s="223">
        <v>0</v>
      </c>
      <c r="G113" s="223">
        <v>0</v>
      </c>
      <c r="H113" s="224">
        <v>968.2</v>
      </c>
      <c r="I113" s="292">
        <v>400</v>
      </c>
      <c r="J113" s="223">
        <v>0</v>
      </c>
      <c r="K113" s="223">
        <v>0</v>
      </c>
      <c r="L113" s="226">
        <v>400</v>
      </c>
      <c r="M113" s="292">
        <v>912.3</v>
      </c>
      <c r="N113" s="223">
        <v>0</v>
      </c>
      <c r="O113" s="223">
        <v>0</v>
      </c>
      <c r="P113" s="224">
        <v>912.3</v>
      </c>
      <c r="Q113" s="292">
        <v>0</v>
      </c>
      <c r="R113" s="223">
        <v>0</v>
      </c>
      <c r="S113" s="223">
        <v>0</v>
      </c>
      <c r="T113" s="226">
        <v>0</v>
      </c>
    </row>
    <row r="114" spans="1:20" s="1" customFormat="1" ht="12.75" customHeight="1" x14ac:dyDescent="0.2">
      <c r="A114" s="4021"/>
      <c r="B114" s="4024"/>
      <c r="C114" s="4027"/>
      <c r="D114" s="263" t="s">
        <v>509</v>
      </c>
      <c r="E114" s="292">
        <v>211.9</v>
      </c>
      <c r="F114" s="223">
        <v>211.9</v>
      </c>
      <c r="G114" s="223">
        <v>171.5</v>
      </c>
      <c r="H114" s="224">
        <v>0</v>
      </c>
      <c r="I114" s="292">
        <v>218.3</v>
      </c>
      <c r="J114" s="225">
        <v>218.3</v>
      </c>
      <c r="K114" s="223">
        <v>191</v>
      </c>
      <c r="L114" s="226">
        <v>0</v>
      </c>
      <c r="M114" s="292">
        <v>218.3</v>
      </c>
      <c r="N114" s="225">
        <v>218.3</v>
      </c>
      <c r="O114" s="223">
        <v>191</v>
      </c>
      <c r="P114" s="224">
        <v>0</v>
      </c>
      <c r="Q114" s="292">
        <v>218.3</v>
      </c>
      <c r="R114" s="223">
        <v>218.3</v>
      </c>
      <c r="S114" s="107">
        <v>191</v>
      </c>
      <c r="T114" s="109">
        <v>0</v>
      </c>
    </row>
    <row r="115" spans="1:20" s="1" customFormat="1" ht="12.75" customHeight="1" x14ac:dyDescent="0.2">
      <c r="A115" s="4021"/>
      <c r="B115" s="4024"/>
      <c r="C115" s="4027"/>
      <c r="D115" s="263" t="s">
        <v>34</v>
      </c>
      <c r="E115" s="292">
        <v>16.100000000000001</v>
      </c>
      <c r="F115" s="223">
        <v>16.100000000000001</v>
      </c>
      <c r="G115" s="223">
        <v>0</v>
      </c>
      <c r="H115" s="224">
        <v>0</v>
      </c>
      <c r="I115" s="292">
        <v>58.1</v>
      </c>
      <c r="J115" s="223">
        <v>58.1</v>
      </c>
      <c r="K115" s="223">
        <v>0</v>
      </c>
      <c r="L115" s="226">
        <v>0</v>
      </c>
      <c r="M115" s="292">
        <v>58.1</v>
      </c>
      <c r="N115" s="223">
        <v>58.1</v>
      </c>
      <c r="O115" s="223">
        <v>0</v>
      </c>
      <c r="P115" s="224">
        <v>0</v>
      </c>
      <c r="Q115" s="292">
        <v>58.1</v>
      </c>
      <c r="R115" s="223">
        <v>58.1</v>
      </c>
      <c r="S115" s="223">
        <v>0</v>
      </c>
      <c r="T115" s="226">
        <v>0</v>
      </c>
    </row>
    <row r="116" spans="1:20" s="1" customFormat="1" ht="12.75" customHeight="1" x14ac:dyDescent="0.2">
      <c r="A116" s="4021"/>
      <c r="B116" s="4024"/>
      <c r="C116" s="4027"/>
      <c r="D116" s="263" t="s">
        <v>586</v>
      </c>
      <c r="E116" s="292">
        <v>21.7</v>
      </c>
      <c r="F116" s="223">
        <v>21.7</v>
      </c>
      <c r="G116" s="223">
        <v>0</v>
      </c>
      <c r="H116" s="224">
        <v>0</v>
      </c>
      <c r="I116" s="292">
        <v>41</v>
      </c>
      <c r="J116" s="223">
        <v>41</v>
      </c>
      <c r="K116" s="223">
        <v>0</v>
      </c>
      <c r="L116" s="226">
        <v>0</v>
      </c>
      <c r="M116" s="292">
        <v>0</v>
      </c>
      <c r="N116" s="223">
        <v>0</v>
      </c>
      <c r="O116" s="223">
        <v>0</v>
      </c>
      <c r="P116" s="224">
        <v>0</v>
      </c>
      <c r="Q116" s="292">
        <v>0</v>
      </c>
      <c r="R116" s="223">
        <v>0</v>
      </c>
      <c r="S116" s="223">
        <v>0</v>
      </c>
      <c r="T116" s="226">
        <v>0</v>
      </c>
    </row>
    <row r="117" spans="1:20" s="1" customFormat="1" ht="12.75" customHeight="1" x14ac:dyDescent="0.2">
      <c r="A117" s="4021"/>
      <c r="B117" s="4024"/>
      <c r="C117" s="4027"/>
      <c r="D117" s="293" t="s">
        <v>1102</v>
      </c>
      <c r="E117" s="292">
        <v>5.3</v>
      </c>
      <c r="F117" s="223">
        <v>5.3</v>
      </c>
      <c r="G117" s="223">
        <v>5.2</v>
      </c>
      <c r="H117" s="224">
        <v>0</v>
      </c>
      <c r="I117" s="292">
        <v>5.2</v>
      </c>
      <c r="J117" s="225">
        <v>5.2</v>
      </c>
      <c r="K117" s="223">
        <v>4.7</v>
      </c>
      <c r="L117" s="226">
        <v>0</v>
      </c>
      <c r="M117" s="292">
        <v>5.2</v>
      </c>
      <c r="N117" s="225">
        <v>5.2</v>
      </c>
      <c r="O117" s="223">
        <v>4.7</v>
      </c>
      <c r="P117" s="224">
        <v>0</v>
      </c>
      <c r="Q117" s="292">
        <v>5.2</v>
      </c>
      <c r="R117" s="223">
        <v>5.2</v>
      </c>
      <c r="S117" s="107">
        <v>4.7</v>
      </c>
      <c r="T117" s="109">
        <v>0</v>
      </c>
    </row>
    <row r="118" spans="1:20" s="1" customFormat="1" ht="12.75" customHeight="1" x14ac:dyDescent="0.2">
      <c r="A118" s="4021"/>
      <c r="B118" s="4024"/>
      <c r="C118" s="4027"/>
      <c r="D118" s="293" t="s">
        <v>1103</v>
      </c>
      <c r="E118" s="292">
        <v>5.3</v>
      </c>
      <c r="F118" s="223">
        <v>5.3</v>
      </c>
      <c r="G118" s="223">
        <v>5.2</v>
      </c>
      <c r="H118" s="224">
        <v>0</v>
      </c>
      <c r="I118" s="292">
        <v>5.2</v>
      </c>
      <c r="J118" s="225">
        <v>5.2</v>
      </c>
      <c r="K118" s="223">
        <v>4.7</v>
      </c>
      <c r="L118" s="226">
        <v>0</v>
      </c>
      <c r="M118" s="292">
        <v>5.2</v>
      </c>
      <c r="N118" s="225">
        <v>5.2</v>
      </c>
      <c r="O118" s="223">
        <v>4.7</v>
      </c>
      <c r="P118" s="224">
        <v>0</v>
      </c>
      <c r="Q118" s="292">
        <v>5.2</v>
      </c>
      <c r="R118" s="223">
        <v>5.2</v>
      </c>
      <c r="S118" s="107">
        <v>4.7</v>
      </c>
      <c r="T118" s="109">
        <v>0</v>
      </c>
    </row>
    <row r="119" spans="1:20" s="1" customFormat="1" ht="12.75" customHeight="1" x14ac:dyDescent="0.2">
      <c r="A119" s="4021"/>
      <c r="B119" s="4024"/>
      <c r="C119" s="4027"/>
      <c r="D119" s="293" t="s">
        <v>634</v>
      </c>
      <c r="E119" s="292">
        <v>0</v>
      </c>
      <c r="F119" s="223">
        <v>0</v>
      </c>
      <c r="G119" s="223">
        <v>0</v>
      </c>
      <c r="H119" s="224">
        <v>0</v>
      </c>
      <c r="I119" s="292">
        <v>0</v>
      </c>
      <c r="J119" s="223">
        <v>0</v>
      </c>
      <c r="K119" s="223">
        <v>0</v>
      </c>
      <c r="L119" s="226">
        <v>0</v>
      </c>
      <c r="M119" s="292">
        <v>0</v>
      </c>
      <c r="N119" s="223">
        <v>0</v>
      </c>
      <c r="O119" s="223">
        <v>0</v>
      </c>
      <c r="P119" s="224">
        <v>0</v>
      </c>
      <c r="Q119" s="292">
        <v>0</v>
      </c>
      <c r="R119" s="223">
        <v>0</v>
      </c>
      <c r="S119" s="223">
        <v>0</v>
      </c>
      <c r="T119" s="226">
        <v>0</v>
      </c>
    </row>
    <row r="120" spans="1:20" s="1" customFormat="1" ht="12.75" customHeight="1" x14ac:dyDescent="0.2">
      <c r="A120" s="4021"/>
      <c r="B120" s="4024"/>
      <c r="C120" s="4027"/>
      <c r="D120" s="293" t="s">
        <v>202</v>
      </c>
      <c r="E120" s="292">
        <v>46.4</v>
      </c>
      <c r="F120" s="223">
        <v>46.4</v>
      </c>
      <c r="G120" s="223">
        <v>0</v>
      </c>
      <c r="H120" s="224">
        <v>0</v>
      </c>
      <c r="I120" s="292">
        <v>10</v>
      </c>
      <c r="J120" s="223">
        <v>10</v>
      </c>
      <c r="K120" s="223">
        <v>0</v>
      </c>
      <c r="L120" s="226">
        <v>0</v>
      </c>
      <c r="M120" s="292">
        <v>10</v>
      </c>
      <c r="N120" s="223">
        <v>10</v>
      </c>
      <c r="O120" s="223">
        <v>0</v>
      </c>
      <c r="P120" s="224">
        <v>0</v>
      </c>
      <c r="Q120" s="292">
        <v>10</v>
      </c>
      <c r="R120" s="223">
        <v>10</v>
      </c>
      <c r="S120" s="223">
        <v>0</v>
      </c>
      <c r="T120" s="226">
        <v>0</v>
      </c>
    </row>
    <row r="121" spans="1:20" s="1" customFormat="1" ht="12.75" customHeight="1" x14ac:dyDescent="0.2">
      <c r="A121" s="4021"/>
      <c r="B121" s="4024"/>
      <c r="C121" s="4027"/>
      <c r="D121" s="293" t="s">
        <v>681</v>
      </c>
      <c r="E121" s="292">
        <v>12.7</v>
      </c>
      <c r="F121" s="223">
        <v>12.7</v>
      </c>
      <c r="G121" s="223">
        <v>0</v>
      </c>
      <c r="H121" s="224">
        <v>0</v>
      </c>
      <c r="I121" s="292">
        <v>20</v>
      </c>
      <c r="J121" s="225">
        <v>20</v>
      </c>
      <c r="K121" s="223">
        <v>0</v>
      </c>
      <c r="L121" s="226">
        <v>0</v>
      </c>
      <c r="M121" s="292">
        <v>20</v>
      </c>
      <c r="N121" s="225">
        <v>20</v>
      </c>
      <c r="O121" s="223">
        <v>0</v>
      </c>
      <c r="P121" s="224">
        <v>0</v>
      </c>
      <c r="Q121" s="292">
        <v>20</v>
      </c>
      <c r="R121" s="223">
        <v>20</v>
      </c>
      <c r="S121" s="107">
        <v>0</v>
      </c>
      <c r="T121" s="109">
        <v>0</v>
      </c>
    </row>
    <row r="122" spans="1:20" s="1" customFormat="1" ht="13.5" customHeight="1" x14ac:dyDescent="0.2">
      <c r="A122" s="4021"/>
      <c r="B122" s="4024"/>
      <c r="C122" s="4027"/>
      <c r="D122" s="294" t="s">
        <v>244</v>
      </c>
      <c r="E122" s="292">
        <v>0.5</v>
      </c>
      <c r="F122" s="223">
        <v>0</v>
      </c>
      <c r="G122" s="223">
        <v>0</v>
      </c>
      <c r="H122" s="224">
        <v>0.5</v>
      </c>
      <c r="I122" s="292">
        <v>0</v>
      </c>
      <c r="J122" s="225">
        <v>0</v>
      </c>
      <c r="K122" s="225">
        <v>0</v>
      </c>
      <c r="L122" s="227">
        <v>0</v>
      </c>
      <c r="M122" s="292">
        <v>0</v>
      </c>
      <c r="N122" s="225"/>
      <c r="O122" s="223"/>
      <c r="P122" s="224"/>
      <c r="Q122" s="292">
        <v>0</v>
      </c>
      <c r="R122" s="223"/>
      <c r="S122" s="107"/>
      <c r="T122" s="109"/>
    </row>
    <row r="123" spans="1:20" s="1" customFormat="1" ht="13.5" customHeight="1" x14ac:dyDescent="0.2">
      <c r="A123" s="4021"/>
      <c r="B123" s="4024"/>
      <c r="C123" s="4027"/>
      <c r="D123" s="294" t="s">
        <v>32</v>
      </c>
      <c r="E123" s="295">
        <v>0</v>
      </c>
      <c r="F123" s="228"/>
      <c r="G123" s="228"/>
      <c r="H123" s="229"/>
      <c r="I123" s="292">
        <v>1789.3000000000002</v>
      </c>
      <c r="J123" s="228">
        <v>82</v>
      </c>
      <c r="K123" s="228">
        <v>0</v>
      </c>
      <c r="L123" s="296">
        <v>1707.3000000000002</v>
      </c>
      <c r="M123" s="292">
        <v>0</v>
      </c>
      <c r="N123" s="228">
        <v>0</v>
      </c>
      <c r="O123" s="228">
        <v>0</v>
      </c>
      <c r="P123" s="229">
        <v>0</v>
      </c>
      <c r="Q123" s="292">
        <v>0</v>
      </c>
      <c r="R123" s="223">
        <v>0</v>
      </c>
      <c r="S123" s="223">
        <v>0</v>
      </c>
      <c r="T123" s="226">
        <v>0</v>
      </c>
    </row>
    <row r="124" spans="1:20" s="1" customFormat="1" ht="13.5" customHeight="1" x14ac:dyDescent="0.2">
      <c r="A124" s="4021"/>
      <c r="B124" s="4024"/>
      <c r="C124" s="4027"/>
      <c r="D124" s="297" t="s">
        <v>99</v>
      </c>
      <c r="E124" s="292">
        <v>6</v>
      </c>
      <c r="F124" s="223">
        <v>0</v>
      </c>
      <c r="G124" s="223">
        <v>0</v>
      </c>
      <c r="H124" s="224">
        <v>6</v>
      </c>
      <c r="I124" s="292">
        <v>0</v>
      </c>
      <c r="J124" s="223">
        <v>0</v>
      </c>
      <c r="K124" s="223">
        <v>0</v>
      </c>
      <c r="L124" s="223">
        <v>0</v>
      </c>
      <c r="M124" s="292">
        <v>0</v>
      </c>
      <c r="N124" s="223">
        <v>0</v>
      </c>
      <c r="O124" s="223">
        <v>0</v>
      </c>
      <c r="P124" s="223">
        <v>0</v>
      </c>
      <c r="Q124" s="292">
        <v>0</v>
      </c>
      <c r="R124" s="223">
        <v>0</v>
      </c>
      <c r="S124" s="223">
        <v>0</v>
      </c>
      <c r="T124" s="226">
        <v>0</v>
      </c>
    </row>
    <row r="125" spans="1:20" s="1" customFormat="1" ht="13.5" customHeight="1" thickBot="1" x14ac:dyDescent="0.25">
      <c r="A125" s="4022"/>
      <c r="B125" s="4025"/>
      <c r="C125" s="4028"/>
      <c r="D125" s="294" t="s">
        <v>31</v>
      </c>
      <c r="E125" s="298">
        <v>132.19999999999999</v>
      </c>
      <c r="F125" s="230">
        <v>132.19999999999999</v>
      </c>
      <c r="G125" s="230">
        <v>0</v>
      </c>
      <c r="H125" s="231"/>
      <c r="I125" s="298">
        <v>22.6</v>
      </c>
      <c r="J125" s="230">
        <v>22.6</v>
      </c>
      <c r="K125" s="230">
        <v>0</v>
      </c>
      <c r="L125" s="230">
        <v>0</v>
      </c>
      <c r="M125" s="298">
        <v>0</v>
      </c>
      <c r="N125" s="230"/>
      <c r="O125" s="230"/>
      <c r="P125" s="231"/>
      <c r="Q125" s="298">
        <v>0</v>
      </c>
      <c r="R125" s="230"/>
      <c r="S125" s="230"/>
      <c r="T125" s="232"/>
    </row>
    <row r="126" spans="1:20" s="173" customFormat="1" ht="10.9" customHeight="1" thickBot="1" x14ac:dyDescent="0.25">
      <c r="A126" s="4029" t="s">
        <v>208</v>
      </c>
      <c r="B126" s="4017"/>
      <c r="C126" s="4030"/>
      <c r="D126" s="4019"/>
      <c r="E126" s="249">
        <f t="shared" ref="E126:T126" si="8">SUM(E111:E125)</f>
        <v>9745.5999999999985</v>
      </c>
      <c r="F126" s="247">
        <f t="shared" si="8"/>
        <v>7995.2999999999965</v>
      </c>
      <c r="G126" s="247">
        <f t="shared" si="8"/>
        <v>6228.9000000000015</v>
      </c>
      <c r="H126" s="247">
        <f t="shared" si="8"/>
        <v>1750.3000000000002</v>
      </c>
      <c r="I126" s="249">
        <f t="shared" si="8"/>
        <v>14774.900000000003</v>
      </c>
      <c r="J126" s="247">
        <f t="shared" si="8"/>
        <v>11231.200000000003</v>
      </c>
      <c r="K126" s="247">
        <f t="shared" si="8"/>
        <v>8216.600000000004</v>
      </c>
      <c r="L126" s="247">
        <f t="shared" si="8"/>
        <v>3543.7000000000003</v>
      </c>
      <c r="M126" s="249">
        <f>SUM(M111:M125)</f>
        <v>14361.900000000001</v>
      </c>
      <c r="N126" s="247">
        <f t="shared" si="8"/>
        <v>10311.800000000001</v>
      </c>
      <c r="O126" s="247">
        <f t="shared" si="8"/>
        <v>7940.2999999999993</v>
      </c>
      <c r="P126" s="247">
        <f t="shared" si="8"/>
        <v>4050.1000000000004</v>
      </c>
      <c r="Q126" s="255">
        <f t="shared" si="8"/>
        <v>11961.900000000001</v>
      </c>
      <c r="R126" s="256">
        <f t="shared" si="8"/>
        <v>10311.800000000001</v>
      </c>
      <c r="S126" s="256">
        <f t="shared" si="8"/>
        <v>7940.2999999999993</v>
      </c>
      <c r="T126" s="257">
        <f t="shared" si="8"/>
        <v>1650.1</v>
      </c>
    </row>
    <row r="127" spans="1:20" s="302" customFormat="1" thickBot="1" x14ac:dyDescent="0.25">
      <c r="A127" s="4031" t="s">
        <v>222</v>
      </c>
      <c r="B127" s="4032"/>
      <c r="C127" s="4032"/>
      <c r="D127" s="4033"/>
      <c r="E127" s="299">
        <f t="shared" ref="E127:T127" si="9">E126+E110+E100+E87+E71+E60+E45+E31+E21</f>
        <v>98204.38</v>
      </c>
      <c r="F127" s="299">
        <f t="shared" si="9"/>
        <v>80638.679999999993</v>
      </c>
      <c r="G127" s="299">
        <f t="shared" si="9"/>
        <v>41038.800000000003</v>
      </c>
      <c r="H127" s="299">
        <f t="shared" si="9"/>
        <v>17565.699999999997</v>
      </c>
      <c r="I127" s="299">
        <f t="shared" si="9"/>
        <v>123967.33199999998</v>
      </c>
      <c r="J127" s="299">
        <f t="shared" si="9"/>
        <v>95561.900000000009</v>
      </c>
      <c r="K127" s="299">
        <f t="shared" si="9"/>
        <v>49385.100000000006</v>
      </c>
      <c r="L127" s="299">
        <f t="shared" si="9"/>
        <v>28405.432000000001</v>
      </c>
      <c r="M127" s="299">
        <f t="shared" si="9"/>
        <v>129211.40000000001</v>
      </c>
      <c r="N127" s="299">
        <f t="shared" si="9"/>
        <v>93387.900000000009</v>
      </c>
      <c r="O127" s="299">
        <f t="shared" si="9"/>
        <v>49034.299999999996</v>
      </c>
      <c r="P127" s="299">
        <f t="shared" si="9"/>
        <v>35824.199999999997</v>
      </c>
      <c r="Q127" s="300">
        <f t="shared" si="9"/>
        <v>118166.2</v>
      </c>
      <c r="R127" s="300">
        <f t="shared" si="9"/>
        <v>93061.400000000009</v>
      </c>
      <c r="S127" s="300">
        <f t="shared" si="9"/>
        <v>48920.800000000003</v>
      </c>
      <c r="T127" s="301">
        <f t="shared" si="9"/>
        <v>25104.800000000003</v>
      </c>
    </row>
    <row r="128" spans="1:20" ht="22.5" customHeight="1" x14ac:dyDescent="0.2">
      <c r="A128" s="4011" t="s">
        <v>1239</v>
      </c>
      <c r="B128" s="4012"/>
      <c r="C128" s="4012"/>
      <c r="D128" s="4013"/>
      <c r="E128" s="52">
        <f t="shared" ref="E128:E141" si="10">F128+H128</f>
        <v>39116.87999999999</v>
      </c>
      <c r="F128" s="53">
        <f>F111+F101+F88+F72+F61+F46+F32+F22+F8</f>
        <v>33992.37999999999</v>
      </c>
      <c r="G128" s="53">
        <f>G111+G101+G88+G72+G61+G46+G32+G22+G8</f>
        <v>21934.300000000003</v>
      </c>
      <c r="H128" s="54">
        <f>H111+H101+H88+H72+H61+H46+H32+H22+H8</f>
        <v>5124.5000000000009</v>
      </c>
      <c r="I128" s="221">
        <f t="shared" ref="I128:I154" si="11">J128+L128</f>
        <v>51863.000000000007</v>
      </c>
      <c r="J128" s="53">
        <f>J111+J101+J88+J72+J61+J46+J32+J22+J8</f>
        <v>42158.200000000004</v>
      </c>
      <c r="K128" s="53">
        <f>K111+K101+K88+K72+K61+K46+K32+K22+K8</f>
        <v>27224.9</v>
      </c>
      <c r="L128" s="54">
        <f>L111+L101+L88+L72+L61+L46+L32+L22+L8</f>
        <v>9704.8000000000011</v>
      </c>
      <c r="M128" s="52">
        <f t="shared" ref="M128:M154" si="12">N128+P128</f>
        <v>65308.3</v>
      </c>
      <c r="N128" s="53">
        <f>N111+N101+N88+N72+N61+N46+N32+N22+N8</f>
        <v>45039.8</v>
      </c>
      <c r="O128" s="53">
        <f>O111+O101+O88+O72+O61+O46+O32+O22+O8</f>
        <v>27386.799999999996</v>
      </c>
      <c r="P128" s="54">
        <f>P111+P101+P88+P72+P61+P46+P32+P22+P8</f>
        <v>20268.5</v>
      </c>
      <c r="Q128" s="52">
        <f t="shared" ref="Q128:Q158" si="13">R128+T128</f>
        <v>61227.30000000001</v>
      </c>
      <c r="R128" s="53">
        <f>R111+R101+R88+R72+R61+R46+R32+R22+R8</f>
        <v>44861.500000000007</v>
      </c>
      <c r="S128" s="53">
        <f>S111+S101+S88+S72+S61+S46+S32+S22+S8</f>
        <v>27414.299999999996</v>
      </c>
      <c r="T128" s="54">
        <f>T111+T101+T88+T72+T61+T46+T32+T22+T8</f>
        <v>16365.800000000001</v>
      </c>
    </row>
    <row r="129" spans="1:20" s="47" customFormat="1" ht="22.5" customHeight="1" x14ac:dyDescent="0.2">
      <c r="A129" s="4005" t="s">
        <v>210</v>
      </c>
      <c r="B129" s="4006"/>
      <c r="C129" s="4006"/>
      <c r="D129" s="4007"/>
      <c r="E129" s="303">
        <f t="shared" si="10"/>
        <v>5493.800000000002</v>
      </c>
      <c r="F129" s="2200">
        <f>F112+F63+F47+F37+F24+F9+F98+F109+F86</f>
        <v>5411.2000000000016</v>
      </c>
      <c r="G129" s="2434">
        <f t="shared" ref="G129:H129" si="14">G112+G63+G47+G37+G24+G9+G98+G109+G86</f>
        <v>2510.1</v>
      </c>
      <c r="H129" s="2434">
        <f t="shared" si="14"/>
        <v>82.6</v>
      </c>
      <c r="I129" s="303">
        <f t="shared" si="11"/>
        <v>6576.4999999999991</v>
      </c>
      <c r="J129" s="2434">
        <f>J112+J63+J47+J37+J24+J9+J98+J109+J86</f>
        <v>6484.8999999999987</v>
      </c>
      <c r="K129" s="2434">
        <f t="shared" ref="K129:L129" si="15">K112+K63+K47+K37+K24+K9+K98+K109+K86</f>
        <v>3180.4</v>
      </c>
      <c r="L129" s="2434">
        <f t="shared" si="15"/>
        <v>91.600000000000009</v>
      </c>
      <c r="M129" s="303">
        <f t="shared" si="12"/>
        <v>9137.3999999999978</v>
      </c>
      <c r="N129" s="2434">
        <f>N112+N63+N47+N37+N24+N9+N98+N109+N86</f>
        <v>5837.3999999999987</v>
      </c>
      <c r="O129" s="2434">
        <f t="shared" ref="O129:P129" si="16">O112+O63+O47+O37+O24+O9+O98+O109+O86</f>
        <v>2656.5</v>
      </c>
      <c r="P129" s="2434">
        <f t="shared" si="16"/>
        <v>3300</v>
      </c>
      <c r="Q129" s="303">
        <f t="shared" si="13"/>
        <v>5863.2</v>
      </c>
      <c r="R129" s="2453">
        <f>R112+R63+R47+R37+R24+R9+R98+R109+R86</f>
        <v>5813.2</v>
      </c>
      <c r="S129" s="2453">
        <f t="shared" ref="S129:T129" si="17">S112+S63+S47+S37+S24+S9+S98+S109+S86</f>
        <v>2581.9</v>
      </c>
      <c r="T129" s="2452">
        <f t="shared" si="17"/>
        <v>50</v>
      </c>
    </row>
    <row r="130" spans="1:20" x14ac:dyDescent="0.2">
      <c r="A130" s="4005" t="s">
        <v>1315</v>
      </c>
      <c r="B130" s="4006"/>
      <c r="C130" s="4006"/>
      <c r="D130" s="4007"/>
      <c r="E130" s="303">
        <f t="shared" si="10"/>
        <v>14451.199999999999</v>
      </c>
      <c r="F130" s="2200">
        <f t="shared" ref="F130:H131" si="18">F12</f>
        <v>14444.9</v>
      </c>
      <c r="G130" s="2200">
        <f t="shared" si="18"/>
        <v>13665.800000000001</v>
      </c>
      <c r="H130" s="2199">
        <f t="shared" si="18"/>
        <v>6.3</v>
      </c>
      <c r="I130" s="303">
        <f t="shared" si="11"/>
        <v>17270.8</v>
      </c>
      <c r="J130" s="2200">
        <f t="shared" ref="J130:L131" si="19">J12</f>
        <v>17270.8</v>
      </c>
      <c r="K130" s="2200">
        <f t="shared" si="19"/>
        <v>15941.599999999999</v>
      </c>
      <c r="L130" s="2199">
        <f t="shared" si="19"/>
        <v>0</v>
      </c>
      <c r="M130" s="303">
        <f t="shared" si="12"/>
        <v>17270.8</v>
      </c>
      <c r="N130" s="2200">
        <f t="shared" ref="N130:P131" si="20">N12</f>
        <v>17270.8</v>
      </c>
      <c r="O130" s="2200">
        <f t="shared" si="20"/>
        <v>15989.000000000002</v>
      </c>
      <c r="P130" s="2199">
        <f t="shared" si="20"/>
        <v>0</v>
      </c>
      <c r="Q130" s="15">
        <f t="shared" si="13"/>
        <v>17270.8</v>
      </c>
      <c r="R130" s="2453">
        <f t="shared" ref="R130:T131" si="21">R12</f>
        <v>17270.8</v>
      </c>
      <c r="S130" s="2453">
        <f t="shared" si="21"/>
        <v>15989.000000000002</v>
      </c>
      <c r="T130" s="2452">
        <f t="shared" si="21"/>
        <v>0</v>
      </c>
    </row>
    <row r="131" spans="1:20" ht="26.25" customHeight="1" x14ac:dyDescent="0.2">
      <c r="A131" s="4005" t="s">
        <v>214</v>
      </c>
      <c r="B131" s="4006"/>
      <c r="C131" s="4006"/>
      <c r="D131" s="4007"/>
      <c r="E131" s="303">
        <f t="shared" si="10"/>
        <v>155.60000000000002</v>
      </c>
      <c r="F131" s="97">
        <f t="shared" si="18"/>
        <v>128.30000000000001</v>
      </c>
      <c r="G131" s="97">
        <f t="shared" si="18"/>
        <v>0</v>
      </c>
      <c r="H131" s="98">
        <f t="shared" si="18"/>
        <v>27.3</v>
      </c>
      <c r="I131" s="303">
        <f t="shared" si="11"/>
        <v>0</v>
      </c>
      <c r="J131" s="97">
        <f t="shared" si="19"/>
        <v>0</v>
      </c>
      <c r="K131" s="97">
        <f t="shared" si="19"/>
        <v>0</v>
      </c>
      <c r="L131" s="98">
        <f t="shared" si="19"/>
        <v>0</v>
      </c>
      <c r="M131" s="303">
        <f t="shared" si="12"/>
        <v>0</v>
      </c>
      <c r="N131" s="97">
        <f t="shared" si="20"/>
        <v>0</v>
      </c>
      <c r="O131" s="97">
        <f t="shared" si="20"/>
        <v>0</v>
      </c>
      <c r="P131" s="98">
        <f t="shared" si="20"/>
        <v>0</v>
      </c>
      <c r="Q131" s="303">
        <f t="shared" si="13"/>
        <v>0</v>
      </c>
      <c r="R131" s="97">
        <f t="shared" si="21"/>
        <v>0</v>
      </c>
      <c r="S131" s="97">
        <f t="shared" si="21"/>
        <v>0</v>
      </c>
      <c r="T131" s="98">
        <f t="shared" si="21"/>
        <v>0</v>
      </c>
    </row>
    <row r="132" spans="1:20" x14ac:dyDescent="0.2">
      <c r="A132" s="4005" t="s">
        <v>215</v>
      </c>
      <c r="B132" s="4006"/>
      <c r="C132" s="4006"/>
      <c r="D132" s="4007"/>
      <c r="E132" s="303">
        <f t="shared" si="10"/>
        <v>2624.6000000000004</v>
      </c>
      <c r="F132" s="2200">
        <f>F115+F102+F89+F84+F66+F50+F36+F23+F14</f>
        <v>2587.7000000000003</v>
      </c>
      <c r="G132" s="2200">
        <f>G115+G102+G89+G84+G66+G50+G36+G23+G14</f>
        <v>1148.4000000000001</v>
      </c>
      <c r="H132" s="2200">
        <f>H115+H102+H89+H84+H66+H50+H36+H23+H14</f>
        <v>36.9</v>
      </c>
      <c r="I132" s="303">
        <f t="shared" si="11"/>
        <v>3278.6000000000004</v>
      </c>
      <c r="J132" s="2200">
        <f>J115+J102+J89+J84+J66+J50+J36+J23+J14</f>
        <v>3265.8</v>
      </c>
      <c r="K132" s="2200">
        <f>K115+K102+K89+K84+K66+K50+K36+K23+K14</f>
        <v>1338.7</v>
      </c>
      <c r="L132" s="2200">
        <f>L115+L102+L89+L84+L66+L50+L36+L23+L14</f>
        <v>12.8</v>
      </c>
      <c r="M132" s="303">
        <f t="shared" si="12"/>
        <v>3254.7</v>
      </c>
      <c r="N132" s="2200">
        <f>N115+N102+N89+N84+N66+N50+N36+N23+N14</f>
        <v>3254.7</v>
      </c>
      <c r="O132" s="2200">
        <f>O115+O102+O89+O84+O66+O50+O36+O23+O14</f>
        <v>1333.1000000000001</v>
      </c>
      <c r="P132" s="2200">
        <f>P115+P102+P89+P84+P66+P50+P36+P23+P14</f>
        <v>0</v>
      </c>
      <c r="Q132" s="303">
        <f>R132+T132</f>
        <v>3242.4000000000005</v>
      </c>
      <c r="R132" s="2453">
        <f>R115+R102+R89+R84+R66+R50+R36+R23+R14</f>
        <v>3242.4000000000005</v>
      </c>
      <c r="S132" s="2453">
        <f>S115+S102+S89+S84+S66+S50+S36+S23+S14</f>
        <v>1340.2</v>
      </c>
      <c r="T132" s="2452">
        <f>T115+T102+T89+T84+T66+T50+T36+T23+T14</f>
        <v>0</v>
      </c>
    </row>
    <row r="133" spans="1:20" x14ac:dyDescent="0.2">
      <c r="A133" s="4005" t="s">
        <v>826</v>
      </c>
      <c r="B133" s="4006"/>
      <c r="C133" s="4006"/>
      <c r="D133" s="4007"/>
      <c r="E133" s="303">
        <f t="shared" si="10"/>
        <v>2438.8000000000002</v>
      </c>
      <c r="F133" s="2200">
        <f>+F105+F90+F75+F64+F53+F35+F26+F10</f>
        <v>416</v>
      </c>
      <c r="G133" s="2200">
        <f>+G105+G90+G75+G64+G53+G35+G26+G10</f>
        <v>42.699999999999996</v>
      </c>
      <c r="H133" s="2200">
        <f>+H105+H90+H75+H64+H53+H35+H26+H10</f>
        <v>2022.8</v>
      </c>
      <c r="I133" s="303">
        <f t="shared" si="11"/>
        <v>2810.3320000000003</v>
      </c>
      <c r="J133" s="2200">
        <f>+J105+J90+J75+J64+J53+J35+J26+J10</f>
        <v>558.29999999999995</v>
      </c>
      <c r="K133" s="2200">
        <f>+K105+K90+K75+K64+K53+K35+K26+K10</f>
        <v>41.5</v>
      </c>
      <c r="L133" s="2200">
        <f>+L105+L90+L75+L64+L53+L35+L26+L10</f>
        <v>2252.0320000000002</v>
      </c>
      <c r="M133" s="303">
        <f t="shared" si="12"/>
        <v>1338.7</v>
      </c>
      <c r="N133" s="2200">
        <f>+N105+N90+N75+N64+N53+N35+N26+N10</f>
        <v>10</v>
      </c>
      <c r="O133" s="2200">
        <f>+O105+O90+O75+O64+O53+O35+O26+O10</f>
        <v>9.6999999999999993</v>
      </c>
      <c r="P133" s="2200">
        <f>+P105+P90+P75+P64+P53+P35+P26+P10</f>
        <v>1328.7</v>
      </c>
      <c r="Q133" s="15">
        <f t="shared" si="13"/>
        <v>0</v>
      </c>
      <c r="R133" s="2453">
        <f>+R105+R90+R75+R64+R53+R35+R26+R10</f>
        <v>0</v>
      </c>
      <c r="S133" s="2453">
        <f>+S105+S90+S75+S64+S53+S35+S26+S10</f>
        <v>0</v>
      </c>
      <c r="T133" s="2452">
        <f>+T105+T90+T75+T64+T53+T35+T26+T10</f>
        <v>0</v>
      </c>
    </row>
    <row r="134" spans="1:20" ht="21.75" customHeight="1" x14ac:dyDescent="0.2">
      <c r="A134" s="4005" t="s">
        <v>422</v>
      </c>
      <c r="B134" s="4006"/>
      <c r="C134" s="4006"/>
      <c r="D134" s="4007"/>
      <c r="E134" s="303">
        <f>F134+H134</f>
        <v>597.79999999999995</v>
      </c>
      <c r="F134" s="2200">
        <f t="shared" ref="F134:L134" si="22">F122+F91+F27+F55+F42</f>
        <v>0</v>
      </c>
      <c r="G134" s="2200">
        <f t="shared" si="22"/>
        <v>0</v>
      </c>
      <c r="H134" s="2200">
        <f t="shared" si="22"/>
        <v>597.79999999999995</v>
      </c>
      <c r="I134" s="15">
        <f t="shared" si="22"/>
        <v>659</v>
      </c>
      <c r="J134" s="2200">
        <f t="shared" si="22"/>
        <v>0</v>
      </c>
      <c r="K134" s="2200">
        <f t="shared" si="22"/>
        <v>0</v>
      </c>
      <c r="L134" s="2200">
        <f t="shared" si="22"/>
        <v>659</v>
      </c>
      <c r="M134" s="303">
        <f t="shared" si="12"/>
        <v>0</v>
      </c>
      <c r="N134" s="2200">
        <f>N122+N91+N27+N55+N42</f>
        <v>0</v>
      </c>
      <c r="O134" s="2200">
        <f>O122+O91+O27+O55+O42</f>
        <v>0</v>
      </c>
      <c r="P134" s="2200">
        <f>P122+P91+P27+P55+P42</f>
        <v>0</v>
      </c>
      <c r="Q134" s="15">
        <f t="shared" si="13"/>
        <v>0</v>
      </c>
      <c r="R134" s="2453">
        <f>R122+R91+R27+R55+R42</f>
        <v>0</v>
      </c>
      <c r="S134" s="2453">
        <f>S122+S91+S27+S55+S42</f>
        <v>0</v>
      </c>
      <c r="T134" s="2452">
        <f>T122+T91+T27+T55+T42</f>
        <v>0</v>
      </c>
    </row>
    <row r="135" spans="1:20" ht="27.75" customHeight="1" x14ac:dyDescent="0.2">
      <c r="A135" s="4005" t="s">
        <v>824</v>
      </c>
      <c r="B135" s="4006"/>
      <c r="C135" s="4006"/>
      <c r="D135" s="4007"/>
      <c r="E135" s="303">
        <f t="shared" si="10"/>
        <v>2632.6</v>
      </c>
      <c r="F135" s="2200">
        <f>F73</f>
        <v>910.1</v>
      </c>
      <c r="G135" s="2200">
        <f>G73</f>
        <v>0</v>
      </c>
      <c r="H135" s="2200">
        <f>H73</f>
        <v>1722.5</v>
      </c>
      <c r="I135" s="303">
        <f t="shared" si="11"/>
        <v>3007.4</v>
      </c>
      <c r="J135" s="2200">
        <f>J73</f>
        <v>5</v>
      </c>
      <c r="K135" s="2200">
        <f>K73</f>
        <v>0</v>
      </c>
      <c r="L135" s="2200">
        <f>L73</f>
        <v>3002.4</v>
      </c>
      <c r="M135" s="303">
        <f t="shared" si="12"/>
        <v>3505</v>
      </c>
      <c r="N135" s="2200">
        <f>N73</f>
        <v>5</v>
      </c>
      <c r="O135" s="2200">
        <f>O73</f>
        <v>0</v>
      </c>
      <c r="P135" s="2200">
        <f>P73</f>
        <v>3500</v>
      </c>
      <c r="Q135" s="15">
        <f t="shared" si="13"/>
        <v>3455</v>
      </c>
      <c r="R135" s="2453">
        <f>R73</f>
        <v>5</v>
      </c>
      <c r="S135" s="2453">
        <f>S73</f>
        <v>0</v>
      </c>
      <c r="T135" s="2452">
        <f>T73</f>
        <v>3450</v>
      </c>
    </row>
    <row r="136" spans="1:20" ht="22.5" customHeight="1" x14ac:dyDescent="0.2">
      <c r="A136" s="4034" t="s">
        <v>1316</v>
      </c>
      <c r="B136" s="4035"/>
      <c r="C136" s="4035"/>
      <c r="D136" s="4036"/>
      <c r="E136" s="303">
        <f t="shared" si="10"/>
        <v>357.5</v>
      </c>
      <c r="F136" s="2200">
        <f>F48+F33</f>
        <v>327.7</v>
      </c>
      <c r="G136" s="2200">
        <f>G48+G33</f>
        <v>0</v>
      </c>
      <c r="H136" s="2200">
        <f>H48+H33</f>
        <v>29.8</v>
      </c>
      <c r="I136" s="303">
        <f t="shared" si="11"/>
        <v>423.90000000000003</v>
      </c>
      <c r="J136" s="2200">
        <f>J48+J33</f>
        <v>393.90000000000003</v>
      </c>
      <c r="K136" s="2200">
        <f>K48+K33</f>
        <v>0</v>
      </c>
      <c r="L136" s="2200">
        <f>L48+L33</f>
        <v>30</v>
      </c>
      <c r="M136" s="303">
        <f t="shared" si="12"/>
        <v>334.5</v>
      </c>
      <c r="N136" s="2200">
        <f>N48+N33</f>
        <v>334.5</v>
      </c>
      <c r="O136" s="2200">
        <f>O48+O33</f>
        <v>0</v>
      </c>
      <c r="P136" s="2200">
        <f>P48+P33</f>
        <v>0</v>
      </c>
      <c r="Q136" s="15">
        <f t="shared" si="13"/>
        <v>328.5</v>
      </c>
      <c r="R136" s="2453">
        <f>R48+R33</f>
        <v>328.5</v>
      </c>
      <c r="S136" s="2453">
        <f>S48+S33</f>
        <v>0</v>
      </c>
      <c r="T136" s="2452">
        <f>T48+T33</f>
        <v>0</v>
      </c>
    </row>
    <row r="137" spans="1:20" ht="22.5" customHeight="1" x14ac:dyDescent="0.2">
      <c r="A137" s="4002" t="s">
        <v>1317</v>
      </c>
      <c r="B137" s="4003"/>
      <c r="C137" s="4003"/>
      <c r="D137" s="4004"/>
      <c r="E137" s="303">
        <f t="shared" si="10"/>
        <v>70.7</v>
      </c>
      <c r="F137" s="2200">
        <f>F34+F49</f>
        <v>70.7</v>
      </c>
      <c r="G137" s="2200">
        <f>G34+G49</f>
        <v>0</v>
      </c>
      <c r="H137" s="2200">
        <f>H34+H49</f>
        <v>0</v>
      </c>
      <c r="I137" s="303">
        <f t="shared" si="11"/>
        <v>88.7</v>
      </c>
      <c r="J137" s="2200">
        <f>J34+J49</f>
        <v>88.7</v>
      </c>
      <c r="K137" s="2200">
        <f>K34+K49</f>
        <v>0</v>
      </c>
      <c r="L137" s="2200">
        <f>L34+L49</f>
        <v>0</v>
      </c>
      <c r="M137" s="303">
        <f t="shared" si="12"/>
        <v>0</v>
      </c>
      <c r="N137" s="2200">
        <f>N34+N49</f>
        <v>0</v>
      </c>
      <c r="O137" s="2200">
        <f>O34+O49</f>
        <v>0</v>
      </c>
      <c r="P137" s="2200">
        <f>P34+P49</f>
        <v>0</v>
      </c>
      <c r="Q137" s="303">
        <f t="shared" si="13"/>
        <v>0</v>
      </c>
      <c r="R137" s="2453">
        <f>R34+R49</f>
        <v>0</v>
      </c>
      <c r="S137" s="2453">
        <f>S34+S49</f>
        <v>0</v>
      </c>
      <c r="T137" s="2452">
        <f>T34+T49</f>
        <v>0</v>
      </c>
    </row>
    <row r="138" spans="1:20" x14ac:dyDescent="0.2">
      <c r="A138" s="4005" t="s">
        <v>496</v>
      </c>
      <c r="B138" s="4006"/>
      <c r="C138" s="4006"/>
      <c r="D138" s="4007"/>
      <c r="E138" s="303">
        <f t="shared" si="10"/>
        <v>253</v>
      </c>
      <c r="F138" s="2200">
        <f>F51</f>
        <v>253</v>
      </c>
      <c r="G138" s="2200">
        <f>G51</f>
        <v>181.6</v>
      </c>
      <c r="H138" s="2200">
        <f>H51</f>
        <v>0</v>
      </c>
      <c r="I138" s="303">
        <f t="shared" si="11"/>
        <v>268.2</v>
      </c>
      <c r="J138" s="2200">
        <f>J51</f>
        <v>268.2</v>
      </c>
      <c r="K138" s="2200">
        <f>K51</f>
        <v>220.3</v>
      </c>
      <c r="L138" s="2200">
        <f>L51</f>
        <v>0</v>
      </c>
      <c r="M138" s="303">
        <f t="shared" si="12"/>
        <v>249.3</v>
      </c>
      <c r="N138" s="2200">
        <f>N51</f>
        <v>249.3</v>
      </c>
      <c r="O138" s="2200">
        <f>O51</f>
        <v>217.9</v>
      </c>
      <c r="P138" s="2200">
        <f>P51</f>
        <v>0</v>
      </c>
      <c r="Q138" s="15">
        <f t="shared" si="13"/>
        <v>249.3</v>
      </c>
      <c r="R138" s="2453">
        <f>R51</f>
        <v>249.3</v>
      </c>
      <c r="S138" s="2453">
        <f>S51</f>
        <v>217.9</v>
      </c>
      <c r="T138" s="2452">
        <f>T51</f>
        <v>0</v>
      </c>
    </row>
    <row r="139" spans="1:20" x14ac:dyDescent="0.2">
      <c r="A139" s="4005" t="s">
        <v>220</v>
      </c>
      <c r="B139" s="4006"/>
      <c r="C139" s="4006"/>
      <c r="D139" s="4007"/>
      <c r="E139" s="303">
        <f t="shared" si="10"/>
        <v>1649.7</v>
      </c>
      <c r="F139" s="2200">
        <f>F113+F79+F40+F19+F92</f>
        <v>0</v>
      </c>
      <c r="G139" s="2453">
        <f t="shared" ref="G139:H139" si="23">G113+G79+G40+G19+G92</f>
        <v>0</v>
      </c>
      <c r="H139" s="2453">
        <f t="shared" si="23"/>
        <v>1649.7</v>
      </c>
      <c r="I139" s="303">
        <f t="shared" si="11"/>
        <v>2200</v>
      </c>
      <c r="J139" s="2453">
        <f>J113+J79+J40+J19+J92</f>
        <v>0</v>
      </c>
      <c r="K139" s="2453">
        <f t="shared" ref="K139:L139" si="24">K113+K79+K40+K19+K92</f>
        <v>0</v>
      </c>
      <c r="L139" s="2453">
        <f t="shared" si="24"/>
        <v>2200</v>
      </c>
      <c r="M139" s="303">
        <f t="shared" si="12"/>
        <v>912.3</v>
      </c>
      <c r="N139" s="2453">
        <f>N113+N79+N40+N19+N92</f>
        <v>0</v>
      </c>
      <c r="O139" s="2453">
        <f t="shared" ref="O139:P139" si="25">O113+O79+O40+O19+O92</f>
        <v>0</v>
      </c>
      <c r="P139" s="2453">
        <f t="shared" si="25"/>
        <v>912.3</v>
      </c>
      <c r="Q139" s="15">
        <f t="shared" si="13"/>
        <v>0</v>
      </c>
      <c r="R139" s="2453">
        <f>R113+R79+R40+R19+R92</f>
        <v>0</v>
      </c>
      <c r="S139" s="2453">
        <f t="shared" ref="S139:T139" si="26">S113+S79+S40+S19+S92</f>
        <v>0</v>
      </c>
      <c r="T139" s="2452">
        <f t="shared" si="26"/>
        <v>0</v>
      </c>
    </row>
    <row r="140" spans="1:20" ht="31.5" customHeight="1" x14ac:dyDescent="0.2">
      <c r="A140" s="4005" t="s">
        <v>497</v>
      </c>
      <c r="B140" s="4006"/>
      <c r="C140" s="4006"/>
      <c r="D140" s="4007"/>
      <c r="E140" s="303">
        <f t="shared" si="10"/>
        <v>135.00000000000003</v>
      </c>
      <c r="F140" s="2200">
        <f>F106+F94+F76+F52+F30+F11</f>
        <v>2.9000000000000004</v>
      </c>
      <c r="G140" s="2453">
        <f t="shared" ref="G140:H140" si="27">G106+G94+G76+G52+G30+G11</f>
        <v>0.7</v>
      </c>
      <c r="H140" s="2453">
        <f t="shared" si="27"/>
        <v>132.10000000000002</v>
      </c>
      <c r="I140" s="303">
        <f t="shared" si="11"/>
        <v>158.50000000000003</v>
      </c>
      <c r="J140" s="2453">
        <f>J106+J94+J76+J52+J30+J11</f>
        <v>11.4</v>
      </c>
      <c r="K140" s="2453">
        <f t="shared" ref="K140:L140" si="28">K106+K94+K76+K52+K30+K11</f>
        <v>0.6</v>
      </c>
      <c r="L140" s="2453">
        <f t="shared" si="28"/>
        <v>147.10000000000002</v>
      </c>
      <c r="M140" s="303">
        <f t="shared" si="12"/>
        <v>0</v>
      </c>
      <c r="N140" s="2453">
        <f>N106+N94+N76+N52+N30+N11</f>
        <v>0</v>
      </c>
      <c r="O140" s="2453">
        <f t="shared" ref="O140:P140" si="29">O106+O94+O76+O52+O30+O11</f>
        <v>0</v>
      </c>
      <c r="P140" s="2453">
        <f t="shared" si="29"/>
        <v>0</v>
      </c>
      <c r="Q140" s="303">
        <f t="shared" si="13"/>
        <v>0</v>
      </c>
      <c r="R140" s="2453">
        <f>R106+R94+R76+R52+R30+R11</f>
        <v>0</v>
      </c>
      <c r="S140" s="2453">
        <f t="shared" ref="S140:T140" si="30">S106+S94+S76+S52+S30+S11</f>
        <v>0</v>
      </c>
      <c r="T140" s="2452">
        <f t="shared" si="30"/>
        <v>0</v>
      </c>
    </row>
    <row r="141" spans="1:20" ht="39.75" customHeight="1" x14ac:dyDescent="0.2">
      <c r="A141" s="4005" t="s">
        <v>218</v>
      </c>
      <c r="B141" s="4006"/>
      <c r="C141" s="4006"/>
      <c r="D141" s="4007"/>
      <c r="E141" s="303">
        <f t="shared" si="10"/>
        <v>434</v>
      </c>
      <c r="F141" s="2200">
        <f>F107+F99+F17</f>
        <v>0</v>
      </c>
      <c r="G141" s="2200">
        <f>G107+G99+G17</f>
        <v>0</v>
      </c>
      <c r="H141" s="2200">
        <f>H107+H99+H17</f>
        <v>434</v>
      </c>
      <c r="I141" s="303">
        <f t="shared" si="11"/>
        <v>907</v>
      </c>
      <c r="J141" s="2200">
        <f>J107+J99+J17</f>
        <v>0</v>
      </c>
      <c r="K141" s="2200">
        <f>K107+K99+K17</f>
        <v>0</v>
      </c>
      <c r="L141" s="2200">
        <f>L107+L99+L17</f>
        <v>907</v>
      </c>
      <c r="M141" s="303">
        <f t="shared" si="12"/>
        <v>450</v>
      </c>
      <c r="N141" s="2200">
        <f>N107+N99+N17</f>
        <v>0</v>
      </c>
      <c r="O141" s="2200">
        <f>O107+O99+O17</f>
        <v>0</v>
      </c>
      <c r="P141" s="2200">
        <f>P107+P99+P17</f>
        <v>450</v>
      </c>
      <c r="Q141" s="15">
        <f t="shared" si="13"/>
        <v>941</v>
      </c>
      <c r="R141" s="2453">
        <f>R107+R99+R17</f>
        <v>0</v>
      </c>
      <c r="S141" s="2453">
        <f>S107+S99+S17</f>
        <v>0</v>
      </c>
      <c r="T141" s="2452">
        <f>T107+T99+T17</f>
        <v>941</v>
      </c>
    </row>
    <row r="142" spans="1:20" x14ac:dyDescent="0.2">
      <c r="A142" s="4005" t="s">
        <v>302</v>
      </c>
      <c r="B142" s="4006"/>
      <c r="C142" s="4006"/>
      <c r="D142" s="4007"/>
      <c r="E142" s="303">
        <f>F142+H142</f>
        <v>4954.8999999999996</v>
      </c>
      <c r="F142" s="2200">
        <f>F120+F103+F93+F77+F65+F56+F28+F44+F20</f>
        <v>2080.2000000000003</v>
      </c>
      <c r="G142" s="2453">
        <f t="shared" ref="G142:H142" si="31">G120+G103+G93+G77+G65+G56+G28+G44+G20</f>
        <v>899</v>
      </c>
      <c r="H142" s="2453">
        <f t="shared" si="31"/>
        <v>2874.7</v>
      </c>
      <c r="I142" s="303">
        <f>J142+L142</f>
        <v>5378.3</v>
      </c>
      <c r="J142" s="2453">
        <f>J120+J103+J93+J77+J65+J56+J28+J44+J20</f>
        <v>2214</v>
      </c>
      <c r="K142" s="2453">
        <f t="shared" ref="K142:L142" si="32">K120+K103+K93+K77+K65+K56+K28+K44+K20</f>
        <v>1169.3</v>
      </c>
      <c r="L142" s="2453">
        <f t="shared" si="32"/>
        <v>3164.3</v>
      </c>
      <c r="M142" s="303">
        <f>N142+P142</f>
        <v>7981.7</v>
      </c>
      <c r="N142" s="2453">
        <f>N120+N103+N93+N77+N65+N56+N28+N44+N20</f>
        <v>1917</v>
      </c>
      <c r="O142" s="2453">
        <f t="shared" ref="O142:P142" si="33">O120+O103+O93+O77+O65+O56+O28+O44+O20</f>
        <v>902.5</v>
      </c>
      <c r="P142" s="2453">
        <f t="shared" si="33"/>
        <v>6064.7</v>
      </c>
      <c r="Q142" s="303">
        <f>R142+T142</f>
        <v>6190</v>
      </c>
      <c r="R142" s="2453">
        <f>R120+R103+R93+R77+R65+R56+R28+R44+R20</f>
        <v>1892</v>
      </c>
      <c r="S142" s="2453">
        <f t="shared" ref="S142:T142" si="34">S120+S103+S93+S77+S65+S56+S28+S44+S20</f>
        <v>902.5</v>
      </c>
      <c r="T142" s="2452">
        <f t="shared" si="34"/>
        <v>4298</v>
      </c>
    </row>
    <row r="143" spans="1:20" ht="35.25" customHeight="1" x14ac:dyDescent="0.2">
      <c r="A143" s="4005" t="s">
        <v>1241</v>
      </c>
      <c r="B143" s="4006"/>
      <c r="C143" s="4006"/>
      <c r="D143" s="4007"/>
      <c r="E143" s="303">
        <f>F143+H143</f>
        <v>16065.399999999998</v>
      </c>
      <c r="F143" s="2200">
        <f>F114+F97+F62</f>
        <v>16065.399999999998</v>
      </c>
      <c r="G143" s="2200">
        <f>G114+G97+G62</f>
        <v>171.5</v>
      </c>
      <c r="H143" s="2200">
        <f>H114+H97+H62</f>
        <v>0</v>
      </c>
      <c r="I143" s="303">
        <f t="shared" si="11"/>
        <v>16479.600000000002</v>
      </c>
      <c r="J143" s="2200">
        <f>J114+J97+J62</f>
        <v>16479.600000000002</v>
      </c>
      <c r="K143" s="2200">
        <f>K114+K97+K62</f>
        <v>191</v>
      </c>
      <c r="L143" s="2200">
        <f>L114+L97+L62</f>
        <v>0</v>
      </c>
      <c r="M143" s="303">
        <f t="shared" si="12"/>
        <v>16589.5</v>
      </c>
      <c r="N143" s="2200">
        <f>N114+N97+N62</f>
        <v>16589.5</v>
      </c>
      <c r="O143" s="2200">
        <f>O114+O97+O62</f>
        <v>191</v>
      </c>
      <c r="P143" s="2200">
        <f>P114+P97+P62</f>
        <v>0</v>
      </c>
      <c r="Q143" s="15">
        <f t="shared" si="13"/>
        <v>16589.5</v>
      </c>
      <c r="R143" s="2453">
        <f>R114+R97+R62</f>
        <v>16589.5</v>
      </c>
      <c r="S143" s="2453">
        <f>S114+S97+S62</f>
        <v>191</v>
      </c>
      <c r="T143" s="2452">
        <f>T114+T97+T62</f>
        <v>0</v>
      </c>
    </row>
    <row r="144" spans="1:20" ht="37.5" customHeight="1" x14ac:dyDescent="0.2">
      <c r="A144" s="4005" t="s">
        <v>1243</v>
      </c>
      <c r="B144" s="4006"/>
      <c r="C144" s="4006"/>
      <c r="D144" s="4007"/>
      <c r="E144" s="303">
        <f t="shared" ref="E144:E158" si="35">F144+H144</f>
        <v>5.3</v>
      </c>
      <c r="F144" s="2200">
        <f>F117</f>
        <v>5.3</v>
      </c>
      <c r="G144" s="2200">
        <f t="shared" ref="G144:H144" si="36">G117</f>
        <v>5.2</v>
      </c>
      <c r="H144" s="2200">
        <f t="shared" si="36"/>
        <v>0</v>
      </c>
      <c r="I144" s="303">
        <f t="shared" si="11"/>
        <v>5.2</v>
      </c>
      <c r="J144" s="2200">
        <f>J117</f>
        <v>5.2</v>
      </c>
      <c r="K144" s="2200">
        <f t="shared" ref="K144:L144" si="37">K117</f>
        <v>4.7</v>
      </c>
      <c r="L144" s="2200">
        <f t="shared" si="37"/>
        <v>0</v>
      </c>
      <c r="M144" s="303">
        <f t="shared" si="12"/>
        <v>5.2</v>
      </c>
      <c r="N144" s="2200">
        <f>N117</f>
        <v>5.2</v>
      </c>
      <c r="O144" s="2200">
        <f t="shared" ref="O144:P144" si="38">O117</f>
        <v>4.7</v>
      </c>
      <c r="P144" s="2200">
        <f t="shared" si="38"/>
        <v>0</v>
      </c>
      <c r="Q144" s="15">
        <f t="shared" si="13"/>
        <v>5.2</v>
      </c>
      <c r="R144" s="2453">
        <f>R117</f>
        <v>5.2</v>
      </c>
      <c r="S144" s="2453">
        <f t="shared" ref="S144:T144" si="39">S117</f>
        <v>4.7</v>
      </c>
      <c r="T144" s="2452">
        <f t="shared" si="39"/>
        <v>0</v>
      </c>
    </row>
    <row r="145" spans="1:20" ht="36.75" customHeight="1" x14ac:dyDescent="0.2">
      <c r="A145" s="4002" t="s">
        <v>1244</v>
      </c>
      <c r="B145" s="4003"/>
      <c r="C145" s="4003"/>
      <c r="D145" s="4004"/>
      <c r="E145" s="2027">
        <f t="shared" si="35"/>
        <v>5.3</v>
      </c>
      <c r="F145" s="2028">
        <f>F118</f>
        <v>5.3</v>
      </c>
      <c r="G145" s="2028">
        <f>G118</f>
        <v>5.2</v>
      </c>
      <c r="H145" s="2029">
        <f>H118</f>
        <v>0</v>
      </c>
      <c r="I145" s="2027">
        <f t="shared" si="11"/>
        <v>5.2</v>
      </c>
      <c r="J145" s="2028">
        <f>J118</f>
        <v>5.2</v>
      </c>
      <c r="K145" s="2028">
        <f>K118</f>
        <v>4.7</v>
      </c>
      <c r="L145" s="2029">
        <f>L118</f>
        <v>0</v>
      </c>
      <c r="M145" s="2027">
        <f t="shared" si="12"/>
        <v>5.2</v>
      </c>
      <c r="N145" s="2028">
        <f>N118</f>
        <v>5.2</v>
      </c>
      <c r="O145" s="2200">
        <f>O118</f>
        <v>4.7</v>
      </c>
      <c r="P145" s="2199">
        <f>P118</f>
        <v>0</v>
      </c>
      <c r="Q145" s="15">
        <f t="shared" si="13"/>
        <v>5.2</v>
      </c>
      <c r="R145" s="2453">
        <f>R118</f>
        <v>5.2</v>
      </c>
      <c r="S145" s="2453">
        <f>S118</f>
        <v>4.7</v>
      </c>
      <c r="T145" s="2452">
        <f>T118</f>
        <v>0</v>
      </c>
    </row>
    <row r="146" spans="1:20" ht="17.25" customHeight="1" x14ac:dyDescent="0.2">
      <c r="A146" s="4002" t="s">
        <v>828</v>
      </c>
      <c r="B146" s="4003"/>
      <c r="C146" s="4003"/>
      <c r="D146" s="4004"/>
      <c r="E146" s="2027">
        <f t="shared" si="35"/>
        <v>174.89999999999998</v>
      </c>
      <c r="F146" s="2028">
        <f>F121+F82</f>
        <v>12.7</v>
      </c>
      <c r="G146" s="2028">
        <f>G121+G82</f>
        <v>0</v>
      </c>
      <c r="H146" s="2028">
        <f>H121+H82</f>
        <v>162.19999999999999</v>
      </c>
      <c r="I146" s="2027">
        <f t="shared" si="11"/>
        <v>140</v>
      </c>
      <c r="J146" s="2028">
        <f>J121+J82</f>
        <v>120</v>
      </c>
      <c r="K146" s="2028">
        <f>K121+K82</f>
        <v>0</v>
      </c>
      <c r="L146" s="2028">
        <f>L121+L82</f>
        <v>20</v>
      </c>
      <c r="M146" s="2027">
        <f t="shared" si="12"/>
        <v>20</v>
      </c>
      <c r="N146" s="2028">
        <f>N121+N82</f>
        <v>20</v>
      </c>
      <c r="O146" s="2200">
        <f>O121+O82</f>
        <v>0</v>
      </c>
      <c r="P146" s="2200">
        <f>P121+P82</f>
        <v>0</v>
      </c>
      <c r="Q146" s="15">
        <f t="shared" si="13"/>
        <v>20</v>
      </c>
      <c r="R146" s="2453">
        <f>R121+R82</f>
        <v>20</v>
      </c>
      <c r="S146" s="2453">
        <f>S121+S82</f>
        <v>0</v>
      </c>
      <c r="T146" s="2452">
        <f>T121+T82</f>
        <v>0</v>
      </c>
    </row>
    <row r="147" spans="1:20" ht="17.25" customHeight="1" x14ac:dyDescent="0.2">
      <c r="A147" s="4008" t="s">
        <v>1318</v>
      </c>
      <c r="B147" s="4009"/>
      <c r="C147" s="4009"/>
      <c r="D147" s="4010"/>
      <c r="E147" s="2027"/>
      <c r="F147" s="2028">
        <f>SUM(F83,F43)</f>
        <v>0</v>
      </c>
      <c r="G147" s="2028">
        <f t="shared" ref="G147:H147" si="40">SUM(G83,G43)</f>
        <v>0</v>
      </c>
      <c r="H147" s="2028">
        <f t="shared" si="40"/>
        <v>0</v>
      </c>
      <c r="I147" s="2027">
        <f t="shared" si="11"/>
        <v>836.9</v>
      </c>
      <c r="J147" s="2028">
        <f>SUM(J83,J43)</f>
        <v>0</v>
      </c>
      <c r="K147" s="2028">
        <f t="shared" ref="K147:L147" si="41">SUM(K83,K43)</f>
        <v>0</v>
      </c>
      <c r="L147" s="2028">
        <f t="shared" si="41"/>
        <v>836.9</v>
      </c>
      <c r="M147" s="2027"/>
      <c r="N147" s="2028">
        <f>SUM(N83,N43)</f>
        <v>0</v>
      </c>
      <c r="O147" s="2200">
        <f t="shared" ref="O147:P147" si="42">SUM(O83,O43)</f>
        <v>0</v>
      </c>
      <c r="P147" s="2200">
        <f t="shared" si="42"/>
        <v>0</v>
      </c>
      <c r="Q147" s="15"/>
      <c r="R147" s="2453">
        <f>SUM(R83,R43)</f>
        <v>0</v>
      </c>
      <c r="S147" s="2453">
        <f t="shared" ref="S147:T147" si="43">SUM(S83,S43)</f>
        <v>0</v>
      </c>
      <c r="T147" s="2452">
        <f t="shared" si="43"/>
        <v>0</v>
      </c>
    </row>
    <row r="148" spans="1:20" ht="25.5" customHeight="1" x14ac:dyDescent="0.2">
      <c r="A148" s="4002" t="s">
        <v>1319</v>
      </c>
      <c r="B148" s="4003"/>
      <c r="C148" s="4003"/>
      <c r="D148" s="4004"/>
      <c r="E148" s="2027">
        <f t="shared" si="35"/>
        <v>34.700000000000003</v>
      </c>
      <c r="F148" s="2028">
        <f>F67+F116+F85</f>
        <v>34.700000000000003</v>
      </c>
      <c r="G148" s="2028">
        <f t="shared" ref="G148:H148" si="44">G67+G116+G85</f>
        <v>0</v>
      </c>
      <c r="H148" s="2028">
        <f t="shared" si="44"/>
        <v>0</v>
      </c>
      <c r="I148" s="2027">
        <f t="shared" si="11"/>
        <v>61.2</v>
      </c>
      <c r="J148" s="2028">
        <f>J67+J116+J85</f>
        <v>61.2</v>
      </c>
      <c r="K148" s="2028">
        <f t="shared" ref="K148:L148" si="45">K67+K116+K85</f>
        <v>0</v>
      </c>
      <c r="L148" s="2028">
        <f t="shared" si="45"/>
        <v>0</v>
      </c>
      <c r="M148" s="2027">
        <f t="shared" si="12"/>
        <v>0</v>
      </c>
      <c r="N148" s="2028">
        <f>N67+N116+N85</f>
        <v>0</v>
      </c>
      <c r="O148" s="2200">
        <f t="shared" ref="O148:P148" si="46">O67+O116+O85</f>
        <v>0</v>
      </c>
      <c r="P148" s="2200">
        <f t="shared" si="46"/>
        <v>0</v>
      </c>
      <c r="Q148" s="15">
        <f t="shared" si="13"/>
        <v>0</v>
      </c>
      <c r="R148" s="2453">
        <f>R67+R116+R85</f>
        <v>0</v>
      </c>
      <c r="S148" s="2453">
        <f t="shared" ref="S148:T148" si="47">S67+S116+S85</f>
        <v>0</v>
      </c>
      <c r="T148" s="2452">
        <f t="shared" si="47"/>
        <v>0</v>
      </c>
    </row>
    <row r="149" spans="1:20" x14ac:dyDescent="0.2">
      <c r="A149" s="4002" t="s">
        <v>1320</v>
      </c>
      <c r="B149" s="4003"/>
      <c r="C149" s="4003"/>
      <c r="D149" s="4004"/>
      <c r="E149" s="2027">
        <f t="shared" si="35"/>
        <v>0</v>
      </c>
      <c r="F149" s="2028">
        <f>F119+F104+F74+F68</f>
        <v>0</v>
      </c>
      <c r="G149" s="2028">
        <f>G119+G104+G74+G68</f>
        <v>0</v>
      </c>
      <c r="H149" s="2029">
        <f>H119+H104+H74+H68</f>
        <v>0</v>
      </c>
      <c r="I149" s="2027">
        <f t="shared" si="11"/>
        <v>3837.8</v>
      </c>
      <c r="J149" s="2028">
        <f>J119+J104+J74</f>
        <v>1146.0000000000002</v>
      </c>
      <c r="K149" s="2028">
        <f>K119+K104+K74+K68</f>
        <v>0</v>
      </c>
      <c r="L149" s="2029">
        <f>L119+L104+L74+L68</f>
        <v>2691.8</v>
      </c>
      <c r="M149" s="2027">
        <f t="shared" si="12"/>
        <v>0</v>
      </c>
      <c r="N149" s="2028">
        <f>N119+N104+N74+N68</f>
        <v>0</v>
      </c>
      <c r="O149" s="2200">
        <f>O119+O104+O74+O68</f>
        <v>0</v>
      </c>
      <c r="P149" s="2199">
        <f>P119+P104+P74+P68</f>
        <v>0</v>
      </c>
      <c r="Q149" s="15">
        <f t="shared" si="13"/>
        <v>0</v>
      </c>
      <c r="R149" s="2453">
        <f>R119+R104+R74+R68</f>
        <v>0</v>
      </c>
      <c r="S149" s="2453">
        <f>S119+S104+S74+S68</f>
        <v>0</v>
      </c>
      <c r="T149" s="2452">
        <f>T119+T104+T74+T68</f>
        <v>0</v>
      </c>
    </row>
    <row r="150" spans="1:20" ht="25.5" customHeight="1" x14ac:dyDescent="0.2">
      <c r="A150" s="4002" t="s">
        <v>1321</v>
      </c>
      <c r="B150" s="4003"/>
      <c r="C150" s="4003"/>
      <c r="D150" s="4004"/>
      <c r="E150" s="2027">
        <f t="shared" si="35"/>
        <v>2100</v>
      </c>
      <c r="F150" s="2028">
        <f>F38</f>
        <v>2100</v>
      </c>
      <c r="G150" s="2028">
        <f>G38</f>
        <v>0</v>
      </c>
      <c r="H150" s="2029">
        <f>H38</f>
        <v>0</v>
      </c>
      <c r="I150" s="2027">
        <f t="shared" si="11"/>
        <v>2500</v>
      </c>
      <c r="J150" s="2028">
        <f>J38</f>
        <v>2060</v>
      </c>
      <c r="K150" s="2028">
        <f>K38</f>
        <v>0</v>
      </c>
      <c r="L150" s="2029">
        <f>L38</f>
        <v>440</v>
      </c>
      <c r="M150" s="2027">
        <f t="shared" si="12"/>
        <v>2500</v>
      </c>
      <c r="N150" s="2028">
        <f>N38</f>
        <v>2500</v>
      </c>
      <c r="O150" s="2200">
        <f>O38</f>
        <v>0</v>
      </c>
      <c r="P150" s="2199">
        <f>P38</f>
        <v>0</v>
      </c>
      <c r="Q150" s="15">
        <f t="shared" si="13"/>
        <v>2500</v>
      </c>
      <c r="R150" s="2453">
        <f>R38</f>
        <v>2500</v>
      </c>
      <c r="S150" s="2453">
        <f>S38</f>
        <v>0</v>
      </c>
      <c r="T150" s="2452">
        <f>T38</f>
        <v>0</v>
      </c>
    </row>
    <row r="151" spans="1:20" ht="25.5" customHeight="1" x14ac:dyDescent="0.2">
      <c r="A151" s="4002" t="s">
        <v>1322</v>
      </c>
      <c r="B151" s="4003"/>
      <c r="C151" s="4003"/>
      <c r="D151" s="4004"/>
      <c r="E151" s="2027"/>
      <c r="F151" s="2028">
        <f>SUM(F39)</f>
        <v>0</v>
      </c>
      <c r="G151" s="2028">
        <f t="shared" ref="G151:H151" si="48">SUM(G39)</f>
        <v>0</v>
      </c>
      <c r="H151" s="2028">
        <f t="shared" si="48"/>
        <v>0</v>
      </c>
      <c r="I151" s="2027">
        <f t="shared" si="11"/>
        <v>403.8</v>
      </c>
      <c r="J151" s="2028">
        <f>SUM(J39)</f>
        <v>0</v>
      </c>
      <c r="K151" s="2028">
        <f t="shared" ref="K151:L151" si="49">SUM(K39)</f>
        <v>0</v>
      </c>
      <c r="L151" s="2028">
        <f t="shared" si="49"/>
        <v>403.8</v>
      </c>
      <c r="M151" s="2027"/>
      <c r="N151" s="2028">
        <f>SUM(N39)</f>
        <v>0</v>
      </c>
      <c r="O151" s="2200">
        <f t="shared" ref="O151:P151" si="50">SUM(O39)</f>
        <v>0</v>
      </c>
      <c r="P151" s="2200">
        <f t="shared" si="50"/>
        <v>0</v>
      </c>
      <c r="Q151" s="15"/>
      <c r="R151" s="2453">
        <f>SUM(R39)</f>
        <v>0</v>
      </c>
      <c r="S151" s="2453">
        <f t="shared" ref="S151:T151" si="51">SUM(S39)</f>
        <v>0</v>
      </c>
      <c r="T151" s="2452">
        <f t="shared" si="51"/>
        <v>0</v>
      </c>
    </row>
    <row r="152" spans="1:20" ht="25.5" customHeight="1" x14ac:dyDescent="0.2">
      <c r="A152" s="4002" t="s">
        <v>626</v>
      </c>
      <c r="B152" s="4003"/>
      <c r="C152" s="4003"/>
      <c r="D152" s="4004"/>
      <c r="E152" s="2027">
        <f t="shared" si="35"/>
        <v>16.399999999999999</v>
      </c>
      <c r="F152" s="2028">
        <f>F69</f>
        <v>16.399999999999999</v>
      </c>
      <c r="G152" s="2028">
        <f>G69</f>
        <v>0</v>
      </c>
      <c r="H152" s="2028">
        <f>H69</f>
        <v>0</v>
      </c>
      <c r="I152" s="2027">
        <f t="shared" si="11"/>
        <v>2</v>
      </c>
      <c r="J152" s="2028">
        <f>J69</f>
        <v>2</v>
      </c>
      <c r="K152" s="2028">
        <f>K69</f>
        <v>0</v>
      </c>
      <c r="L152" s="2028">
        <f>L69</f>
        <v>0</v>
      </c>
      <c r="M152" s="2027">
        <f t="shared" si="12"/>
        <v>0</v>
      </c>
      <c r="N152" s="2028">
        <f>N69</f>
        <v>0</v>
      </c>
      <c r="O152" s="2200">
        <f>O69</f>
        <v>0</v>
      </c>
      <c r="P152" s="2200">
        <f>P69</f>
        <v>0</v>
      </c>
      <c r="Q152" s="15">
        <f t="shared" si="13"/>
        <v>0</v>
      </c>
      <c r="R152" s="2453">
        <f>R69</f>
        <v>0</v>
      </c>
      <c r="S152" s="2453">
        <f>S69</f>
        <v>0</v>
      </c>
      <c r="T152" s="2452">
        <f>T69</f>
        <v>0</v>
      </c>
    </row>
    <row r="153" spans="1:20" ht="25.5" customHeight="1" x14ac:dyDescent="0.2">
      <c r="A153" s="4002" t="s">
        <v>627</v>
      </c>
      <c r="B153" s="4003"/>
      <c r="C153" s="4003"/>
      <c r="D153" s="4004"/>
      <c r="E153" s="2027">
        <f t="shared" si="35"/>
        <v>842.59999999999991</v>
      </c>
      <c r="F153" s="2028">
        <f>F125+F78+F70+F58+F15+F25</f>
        <v>842.59999999999991</v>
      </c>
      <c r="G153" s="2028">
        <f>G125+G78+G70+G58+G15+G25</f>
        <v>460.59999999999997</v>
      </c>
      <c r="H153" s="2028">
        <f>H125+H78+H70+H58+H15+H25</f>
        <v>0</v>
      </c>
      <c r="I153" s="2027">
        <f t="shared" si="11"/>
        <v>22.6</v>
      </c>
      <c r="J153" s="2028">
        <f>J125+J78+J70+J58+J15+J25</f>
        <v>22.6</v>
      </c>
      <c r="K153" s="2028">
        <f>K125+K78+K70+K58+K15+K25</f>
        <v>0</v>
      </c>
      <c r="L153" s="2028">
        <f>L125+L78+L70+L58+L15+L25</f>
        <v>0</v>
      </c>
      <c r="M153" s="2027">
        <f t="shared" si="12"/>
        <v>272</v>
      </c>
      <c r="N153" s="2028">
        <f>N125+N78+N70+N58+N15+N25</f>
        <v>272</v>
      </c>
      <c r="O153" s="2200">
        <f>O125+O78+O70+O58+O15+O25</f>
        <v>267.8</v>
      </c>
      <c r="P153" s="2200">
        <f>P125+P78+P70+P58+P15+P25</f>
        <v>0</v>
      </c>
      <c r="Q153" s="15">
        <f t="shared" si="13"/>
        <v>272</v>
      </c>
      <c r="R153" s="2453">
        <f>R125+R78+R70+R58+R15+R25</f>
        <v>272</v>
      </c>
      <c r="S153" s="2453">
        <f>S125+S78+S70+S58+S15+S25</f>
        <v>267.8</v>
      </c>
      <c r="T153" s="2452">
        <f>T125+T78+T70+T58+T15+T25</f>
        <v>0</v>
      </c>
    </row>
    <row r="154" spans="1:20" ht="25.5" customHeight="1" x14ac:dyDescent="0.2">
      <c r="A154" s="4002" t="s">
        <v>217</v>
      </c>
      <c r="B154" s="4003"/>
      <c r="C154" s="4003"/>
      <c r="D154" s="4004"/>
      <c r="E154" s="2027">
        <f t="shared" si="35"/>
        <v>1914.1999999999994</v>
      </c>
      <c r="F154" s="2028">
        <f>F16+F96+F81+F41+F123</f>
        <v>513</v>
      </c>
      <c r="G154" s="2028">
        <f t="shared" ref="G154:H154" si="52">G16+G96+G81+G41+G123</f>
        <v>0</v>
      </c>
      <c r="H154" s="2028">
        <f t="shared" si="52"/>
        <v>1401.1999999999994</v>
      </c>
      <c r="I154" s="2027">
        <f t="shared" si="11"/>
        <v>4284.3</v>
      </c>
      <c r="J154" s="2028">
        <f t="shared" ref="J154:T154" si="53">J16+J96+J81+J41+J123</f>
        <v>2462</v>
      </c>
      <c r="K154" s="2028">
        <f t="shared" si="53"/>
        <v>0</v>
      </c>
      <c r="L154" s="2028">
        <f t="shared" si="53"/>
        <v>1822.3000000000002</v>
      </c>
      <c r="M154" s="2027">
        <f t="shared" si="12"/>
        <v>0</v>
      </c>
      <c r="N154" s="2028">
        <f t="shared" ref="N154:T154" si="54">N16+N96+N81+N41+N123</f>
        <v>0</v>
      </c>
      <c r="O154" s="2028">
        <f t="shared" si="53"/>
        <v>0</v>
      </c>
      <c r="P154" s="2028">
        <f t="shared" si="53"/>
        <v>0</v>
      </c>
      <c r="Q154" s="2027">
        <f t="shared" si="13"/>
        <v>0</v>
      </c>
      <c r="R154" s="2028">
        <f t="shared" ref="R154:T154" si="55">R16+R96+R81+R41+R123</f>
        <v>0</v>
      </c>
      <c r="S154" s="2028">
        <f t="shared" si="53"/>
        <v>0</v>
      </c>
      <c r="T154" s="2029">
        <f t="shared" si="53"/>
        <v>0</v>
      </c>
    </row>
    <row r="155" spans="1:20" ht="25.5" customHeight="1" x14ac:dyDescent="0.2">
      <c r="A155" s="4002" t="s">
        <v>219</v>
      </c>
      <c r="B155" s="4003"/>
      <c r="C155" s="4003"/>
      <c r="D155" s="4004"/>
      <c r="E155" s="2027">
        <f t="shared" si="35"/>
        <v>1639.4</v>
      </c>
      <c r="F155" s="2028">
        <f>F124+F108+F57+F29+F18+F95+F80</f>
        <v>378.1</v>
      </c>
      <c r="G155" s="2028">
        <f t="shared" ref="G155:H155" si="56">G124+G108+G57+G29+G18+G95+G80</f>
        <v>0</v>
      </c>
      <c r="H155" s="2028">
        <f t="shared" si="56"/>
        <v>1261.3</v>
      </c>
      <c r="I155" s="2027">
        <f t="shared" ref="I155" si="57">J155+L155</f>
        <v>0</v>
      </c>
      <c r="J155" s="2028">
        <f t="shared" ref="J155:T155" si="58">J124+J108+J57+J29+J18+J95+J80</f>
        <v>0</v>
      </c>
      <c r="K155" s="2028">
        <f t="shared" si="58"/>
        <v>0</v>
      </c>
      <c r="L155" s="2028">
        <f t="shared" si="58"/>
        <v>0</v>
      </c>
      <c r="M155" s="2027">
        <f t="shared" ref="M155" si="59">N155+P155</f>
        <v>0</v>
      </c>
      <c r="N155" s="2028">
        <f t="shared" ref="N155:T155" si="60">N124+N108+N57+N29+N18+N95+N80</f>
        <v>0</v>
      </c>
      <c r="O155" s="2028">
        <f t="shared" si="58"/>
        <v>0</v>
      </c>
      <c r="P155" s="2028">
        <f t="shared" si="58"/>
        <v>0</v>
      </c>
      <c r="Q155" s="2027">
        <f t="shared" si="13"/>
        <v>0</v>
      </c>
      <c r="R155" s="2028">
        <f t="shared" ref="R155:T155" si="61">R124+R108+R57+R29+R18+R95+R80</f>
        <v>0</v>
      </c>
      <c r="S155" s="2028">
        <f t="shared" si="58"/>
        <v>0</v>
      </c>
      <c r="T155" s="2029">
        <f t="shared" si="58"/>
        <v>0</v>
      </c>
    </row>
    <row r="156" spans="1:20" ht="25.5" customHeight="1" x14ac:dyDescent="0.2">
      <c r="A156" s="4008" t="s">
        <v>625</v>
      </c>
      <c r="B156" s="4009"/>
      <c r="C156" s="4009"/>
      <c r="D156" s="4010"/>
      <c r="E156" s="2027"/>
      <c r="F156" s="2030"/>
      <c r="G156" s="2030"/>
      <c r="H156" s="2030"/>
      <c r="I156" s="2027">
        <f t="shared" ref="I156" si="62">J156+L156</f>
        <v>125.3</v>
      </c>
      <c r="J156" s="2030">
        <f>J68</f>
        <v>125.3</v>
      </c>
      <c r="K156" s="2030"/>
      <c r="L156" s="2030"/>
      <c r="M156" s="2031"/>
      <c r="N156" s="2030"/>
      <c r="O156" s="23"/>
      <c r="P156" s="23"/>
      <c r="Q156" s="15"/>
      <c r="R156" s="23"/>
      <c r="S156" s="23"/>
      <c r="T156" s="24"/>
    </row>
    <row r="157" spans="1:20" ht="25.5" customHeight="1" x14ac:dyDescent="0.2">
      <c r="A157" s="4008" t="s">
        <v>501</v>
      </c>
      <c r="B157" s="4009"/>
      <c r="C157" s="4009"/>
      <c r="D157" s="4010"/>
      <c r="E157" s="2027">
        <f t="shared" si="35"/>
        <v>3.9</v>
      </c>
      <c r="F157" s="2030">
        <f>F59</f>
        <v>3.9</v>
      </c>
      <c r="G157" s="2030">
        <f>G59</f>
        <v>0.1</v>
      </c>
      <c r="H157" s="2030">
        <f>H59</f>
        <v>0</v>
      </c>
      <c r="I157" s="2031">
        <f>J157+L157</f>
        <v>87.84</v>
      </c>
      <c r="J157" s="2030">
        <f>J59</f>
        <v>84.9</v>
      </c>
      <c r="K157" s="2030">
        <f>K59</f>
        <v>22.9</v>
      </c>
      <c r="L157" s="2030">
        <f>L59</f>
        <v>2.94</v>
      </c>
      <c r="M157" s="2031">
        <f>N157+P157</f>
        <v>47.699999999999996</v>
      </c>
      <c r="N157" s="2030">
        <f>N59</f>
        <v>47.699999999999996</v>
      </c>
      <c r="O157" s="23">
        <f>O59</f>
        <v>41.6</v>
      </c>
      <c r="P157" s="23">
        <f>P59</f>
        <v>0</v>
      </c>
      <c r="Q157" s="15">
        <f t="shared" si="13"/>
        <v>1</v>
      </c>
      <c r="R157" s="23">
        <f>R59</f>
        <v>1</v>
      </c>
      <c r="S157" s="23">
        <f>S59</f>
        <v>1.02</v>
      </c>
      <c r="T157" s="24">
        <f>T59</f>
        <v>0</v>
      </c>
    </row>
    <row r="158" spans="1:20" ht="25.5" customHeight="1" thickBot="1" x14ac:dyDescent="0.25">
      <c r="A158" s="3996" t="s">
        <v>498</v>
      </c>
      <c r="B158" s="3997"/>
      <c r="C158" s="3997"/>
      <c r="D158" s="3998"/>
      <c r="E158" s="2031">
        <f t="shared" si="35"/>
        <v>36.200000000000003</v>
      </c>
      <c r="F158" s="2030">
        <f>F54</f>
        <v>36.200000000000003</v>
      </c>
      <c r="G158" s="2030">
        <f>G54</f>
        <v>13.600000000000001</v>
      </c>
      <c r="H158" s="2032">
        <f>H54</f>
        <v>0</v>
      </c>
      <c r="I158" s="2031">
        <f t="shared" ref="I158" si="63">J158+L158</f>
        <v>285.36</v>
      </c>
      <c r="J158" s="2030">
        <f>J54</f>
        <v>268.7</v>
      </c>
      <c r="K158" s="2030">
        <f>K54</f>
        <v>44.5</v>
      </c>
      <c r="L158" s="2032">
        <f>L54</f>
        <v>16.66</v>
      </c>
      <c r="M158" s="2031">
        <f>N158+P158</f>
        <v>29.8</v>
      </c>
      <c r="N158" s="2030">
        <f>N54</f>
        <v>29.8</v>
      </c>
      <c r="O158" s="23">
        <f>O54</f>
        <v>29</v>
      </c>
      <c r="P158" s="24">
        <f>P54</f>
        <v>0</v>
      </c>
      <c r="Q158" s="25">
        <f t="shared" si="13"/>
        <v>5.8</v>
      </c>
      <c r="R158" s="26">
        <f>R54</f>
        <v>5.8</v>
      </c>
      <c r="S158" s="26">
        <f>S54</f>
        <v>5.78</v>
      </c>
      <c r="T158" s="27">
        <f>T54</f>
        <v>0</v>
      </c>
    </row>
    <row r="159" spans="1:20" ht="12.75" customHeight="1" thickBot="1" x14ac:dyDescent="0.25">
      <c r="A159" s="3999" t="s">
        <v>1323</v>
      </c>
      <c r="B159" s="4000"/>
      <c r="C159" s="4000"/>
      <c r="D159" s="4001"/>
      <c r="E159" s="304">
        <f t="shared" ref="E159" si="64">F159+H159</f>
        <v>98204.379999999976</v>
      </c>
      <c r="F159" s="305">
        <f>SUM(F128:F158)</f>
        <v>80638.679999999978</v>
      </c>
      <c r="G159" s="305">
        <f>SUM(G128:G158)</f>
        <v>41038.799999999988</v>
      </c>
      <c r="H159" s="305">
        <f>SUM(H128:H158)</f>
        <v>17565.7</v>
      </c>
      <c r="I159" s="304">
        <f t="shared" ref="I159" si="65">J159+L159</f>
        <v>123967.33199999999</v>
      </c>
      <c r="J159" s="305">
        <f>SUM(J128:J158)</f>
        <v>95561.9</v>
      </c>
      <c r="K159" s="305">
        <f>SUM(K128:K158)</f>
        <v>49385.1</v>
      </c>
      <c r="L159" s="305">
        <f>SUM(L128:L158)</f>
        <v>28405.431999999993</v>
      </c>
      <c r="M159" s="304">
        <f>N159+P159</f>
        <v>129212.09999999999</v>
      </c>
      <c r="N159" s="305">
        <f>SUM(N128:N158)</f>
        <v>93387.9</v>
      </c>
      <c r="O159" s="305">
        <f>SUM(O128:O158)</f>
        <v>49034.299999999988</v>
      </c>
      <c r="P159" s="305">
        <f>SUM(P128:P158)</f>
        <v>35824.199999999997</v>
      </c>
      <c r="Q159" s="324">
        <f t="shared" ref="Q159" si="66">R159+T159</f>
        <v>118166.2</v>
      </c>
      <c r="R159" s="305">
        <f>SUM(R128:R158)</f>
        <v>93061.4</v>
      </c>
      <c r="S159" s="305">
        <f>SUM(S128:S158)</f>
        <v>48920.799999999988</v>
      </c>
      <c r="T159" s="306">
        <f>SUM(T128:T158)</f>
        <v>25104.800000000003</v>
      </c>
    </row>
    <row r="160" spans="1:20" ht="12.75" customHeight="1" x14ac:dyDescent="0.2">
      <c r="A160" s="4014"/>
      <c r="B160" s="4014"/>
      <c r="C160" s="4014"/>
      <c r="D160" s="4014"/>
    </row>
    <row r="161" spans="1:20" s="308" customFormat="1" ht="12.75" customHeight="1" x14ac:dyDescent="0.2">
      <c r="A161" s="4015"/>
      <c r="B161" s="4015"/>
      <c r="C161" s="4015"/>
      <c r="D161" s="4015"/>
      <c r="E161" s="307">
        <f t="shared" ref="E161:T161" si="67">E159-E127</f>
        <v>0</v>
      </c>
      <c r="F161" s="307">
        <f t="shared" si="67"/>
        <v>0</v>
      </c>
      <c r="G161" s="307">
        <f t="shared" si="67"/>
        <v>0</v>
      </c>
      <c r="H161" s="307">
        <f t="shared" si="67"/>
        <v>0</v>
      </c>
      <c r="I161" s="307">
        <f t="shared" si="67"/>
        <v>0</v>
      </c>
      <c r="J161" s="307">
        <f t="shared" si="67"/>
        <v>0</v>
      </c>
      <c r="K161" s="307">
        <f t="shared" si="67"/>
        <v>0</v>
      </c>
      <c r="L161" s="307">
        <f t="shared" si="67"/>
        <v>0</v>
      </c>
      <c r="M161" s="307">
        <f t="shared" si="67"/>
        <v>0.6999999999825377</v>
      </c>
      <c r="N161" s="307">
        <f t="shared" si="67"/>
        <v>0</v>
      </c>
      <c r="O161" s="307">
        <f t="shared" si="67"/>
        <v>0</v>
      </c>
      <c r="P161" s="307">
        <f t="shared" si="67"/>
        <v>0</v>
      </c>
      <c r="Q161" s="307">
        <f t="shared" si="67"/>
        <v>0</v>
      </c>
      <c r="R161" s="307">
        <f t="shared" si="67"/>
        <v>0</v>
      </c>
      <c r="S161" s="307">
        <f t="shared" si="67"/>
        <v>0</v>
      </c>
      <c r="T161" s="307">
        <f t="shared" si="67"/>
        <v>0</v>
      </c>
    </row>
    <row r="162" spans="1:20" ht="12.75" customHeight="1" x14ac:dyDescent="0.2">
      <c r="A162" s="4014"/>
      <c r="B162" s="4014"/>
      <c r="C162" s="4014"/>
      <c r="D162" s="4014"/>
    </row>
  </sheetData>
  <mergeCells count="99">
    <mergeCell ref="N5:P5"/>
    <mergeCell ref="Q5:Q7"/>
    <mergeCell ref="R5:T5"/>
    <mergeCell ref="F6:G6"/>
    <mergeCell ref="A31:D31"/>
    <mergeCell ref="A22:A30"/>
    <mergeCell ref="B22:B30"/>
    <mergeCell ref="C22:C30"/>
    <mergeCell ref="H6:H7"/>
    <mergeCell ref="J6:K6"/>
    <mergeCell ref="T6:T7"/>
    <mergeCell ref="A8:A20"/>
    <mergeCell ref="B8:B20"/>
    <mergeCell ref="C8:C18"/>
    <mergeCell ref="A21:D21"/>
    <mergeCell ref="L6:L7"/>
    <mergeCell ref="Q1:T1"/>
    <mergeCell ref="A2:T2"/>
    <mergeCell ref="S3:T3"/>
    <mergeCell ref="A4:A7"/>
    <mergeCell ref="B4:B7"/>
    <mergeCell ref="C4:C7"/>
    <mergeCell ref="D4:D7"/>
    <mergeCell ref="E4:H4"/>
    <mergeCell ref="I4:L4"/>
    <mergeCell ref="M4:P4"/>
    <mergeCell ref="Q4:T4"/>
    <mergeCell ref="E5:E7"/>
    <mergeCell ref="F5:H5"/>
    <mergeCell ref="I5:I7"/>
    <mergeCell ref="J5:L5"/>
    <mergeCell ref="M5:M7"/>
    <mergeCell ref="N6:O6"/>
    <mergeCell ref="P6:P7"/>
    <mergeCell ref="R6:S6"/>
    <mergeCell ref="C72:C86"/>
    <mergeCell ref="B72:B86"/>
    <mergeCell ref="A72:A86"/>
    <mergeCell ref="B32:B44"/>
    <mergeCell ref="C32:C44"/>
    <mergeCell ref="A45:D45"/>
    <mergeCell ref="A46:A59"/>
    <mergeCell ref="B46:B59"/>
    <mergeCell ref="C46:C59"/>
    <mergeCell ref="A32:A44"/>
    <mergeCell ref="A60:D60"/>
    <mergeCell ref="A61:A70"/>
    <mergeCell ref="B61:B70"/>
    <mergeCell ref="C61:C70"/>
    <mergeCell ref="A71:D71"/>
    <mergeCell ref="A87:D87"/>
    <mergeCell ref="A88:A99"/>
    <mergeCell ref="B88:B99"/>
    <mergeCell ref="C88:C99"/>
    <mergeCell ref="A100:D100"/>
    <mergeCell ref="A142:D142"/>
    <mergeCell ref="A143:D143"/>
    <mergeCell ref="A144:D144"/>
    <mergeCell ref="A134:D134"/>
    <mergeCell ref="A135:D135"/>
    <mergeCell ref="A136:D136"/>
    <mergeCell ref="A137:D137"/>
    <mergeCell ref="A138:D138"/>
    <mergeCell ref="A139:D139"/>
    <mergeCell ref="A130:D130"/>
    <mergeCell ref="A131:D131"/>
    <mergeCell ref="A132:D132"/>
    <mergeCell ref="A133:D133"/>
    <mergeCell ref="A110:D110"/>
    <mergeCell ref="A111:A125"/>
    <mergeCell ref="B111:B125"/>
    <mergeCell ref="C111:C125"/>
    <mergeCell ref="A126:D126"/>
    <mergeCell ref="A127:D127"/>
    <mergeCell ref="A160:D160"/>
    <mergeCell ref="A161:D161"/>
    <mergeCell ref="A162:D162"/>
    <mergeCell ref="A152:D152"/>
    <mergeCell ref="A153:D153"/>
    <mergeCell ref="A154:D154"/>
    <mergeCell ref="A155:D155"/>
    <mergeCell ref="A156:D156"/>
    <mergeCell ref="A157:D157"/>
    <mergeCell ref="C101:C109"/>
    <mergeCell ref="B101:B109"/>
    <mergeCell ref="A101:A109"/>
    <mergeCell ref="A158:D158"/>
    <mergeCell ref="A159:D159"/>
    <mergeCell ref="A145:D145"/>
    <mergeCell ref="A146:D146"/>
    <mergeCell ref="A148:D148"/>
    <mergeCell ref="A149:D149"/>
    <mergeCell ref="A150:D150"/>
    <mergeCell ref="A151:D151"/>
    <mergeCell ref="A140:D140"/>
    <mergeCell ref="A141:D141"/>
    <mergeCell ref="A147:D147"/>
    <mergeCell ref="A128:D128"/>
    <mergeCell ref="A129:D129"/>
  </mergeCells>
  <pageMargins left="0.15748031496062992" right="0.15748031496062992" top="0.43307086614173229" bottom="0.19685039370078741" header="0.11811023622047245" footer="0"/>
  <pageSetup paperSize="9" scale="65" fitToHeight="17" orientation="landscape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70" zoomScaleNormal="70" workbookViewId="0">
      <selection activeCell="AA9" sqref="AA9"/>
    </sheetView>
  </sheetViews>
  <sheetFormatPr defaultColWidth="9.28515625" defaultRowHeight="12.75" x14ac:dyDescent="0.2"/>
  <cols>
    <col min="1" max="1" width="10.5703125" style="311" customWidth="1"/>
    <col min="2" max="2" width="36.7109375" style="311" customWidth="1"/>
    <col min="3" max="3" width="10.7109375" style="311" customWidth="1"/>
    <col min="4" max="4" width="45.42578125" style="311" customWidth="1"/>
    <col min="5" max="5" width="13.42578125" style="319" customWidth="1"/>
    <col min="6" max="16384" width="9.28515625" style="311"/>
  </cols>
  <sheetData>
    <row r="1" spans="1:11" ht="15.75" customHeight="1" x14ac:dyDescent="0.2">
      <c r="A1" s="4081" t="s">
        <v>1325</v>
      </c>
      <c r="B1" s="4081"/>
      <c r="C1" s="4081"/>
      <c r="D1" s="4081"/>
      <c r="E1" s="4081"/>
      <c r="F1" s="310"/>
      <c r="G1" s="310"/>
      <c r="H1" s="310"/>
      <c r="I1" s="310"/>
      <c r="J1" s="310"/>
      <c r="K1" s="310"/>
    </row>
    <row r="2" spans="1:11" x14ac:dyDescent="0.2">
      <c r="A2" s="310"/>
      <c r="B2" s="310"/>
      <c r="C2" s="310"/>
      <c r="D2" s="310"/>
      <c r="E2" s="312" t="s">
        <v>2</v>
      </c>
      <c r="F2" s="310" t="s">
        <v>1324</v>
      </c>
      <c r="G2" s="310"/>
      <c r="H2" s="310"/>
      <c r="I2" s="310"/>
      <c r="J2" s="310"/>
      <c r="K2" s="310"/>
    </row>
    <row r="3" spans="1:11" ht="36.75" customHeight="1" x14ac:dyDescent="0.2">
      <c r="A3" s="4082">
        <v>1</v>
      </c>
      <c r="B3" s="4085" t="s">
        <v>1326</v>
      </c>
      <c r="C3" s="313">
        <v>1</v>
      </c>
      <c r="D3" s="314" t="s">
        <v>1305</v>
      </c>
      <c r="E3" s="315">
        <f>SUVESTINĖ!I21</f>
        <v>40970.300000000003</v>
      </c>
      <c r="F3" s="310">
        <f t="shared" ref="F3:F11" si="0">E3/$E$12*100</f>
        <v>33.049271399984633</v>
      </c>
      <c r="G3" s="310"/>
      <c r="H3" s="310"/>
      <c r="I3" s="310"/>
      <c r="J3" s="310"/>
      <c r="K3" s="310"/>
    </row>
    <row r="4" spans="1:11" ht="33.75" customHeight="1" x14ac:dyDescent="0.2">
      <c r="A4" s="4083"/>
      <c r="B4" s="4086"/>
      <c r="C4" s="313">
        <v>2</v>
      </c>
      <c r="D4" s="314" t="s">
        <v>1306</v>
      </c>
      <c r="E4" s="315">
        <f>SUVESTINĖ!I31</f>
        <v>2252.7000000000003</v>
      </c>
      <c r="F4" s="310">
        <f t="shared" si="0"/>
        <v>1.8171722853565972</v>
      </c>
      <c r="G4" s="310"/>
      <c r="H4" s="310"/>
      <c r="I4" s="310"/>
      <c r="J4" s="310"/>
      <c r="K4" s="310"/>
    </row>
    <row r="5" spans="1:11" ht="25.5" x14ac:dyDescent="0.2">
      <c r="A5" s="4084"/>
      <c r="B5" s="4087"/>
      <c r="C5" s="313" t="s">
        <v>1033</v>
      </c>
      <c r="D5" s="314" t="s">
        <v>1310</v>
      </c>
      <c r="E5" s="315">
        <f>SUVESTINĖ!I87</f>
        <v>12760.732</v>
      </c>
      <c r="F5" s="310">
        <f t="shared" si="0"/>
        <v>10.293624775275473</v>
      </c>
      <c r="G5" s="310"/>
      <c r="H5" s="310"/>
      <c r="I5" s="310"/>
      <c r="J5" s="310"/>
      <c r="K5" s="310"/>
    </row>
    <row r="6" spans="1:11" ht="38.25" customHeight="1" x14ac:dyDescent="0.2">
      <c r="A6" s="4088" t="s">
        <v>290</v>
      </c>
      <c r="B6" s="4089" t="s">
        <v>1327</v>
      </c>
      <c r="C6" s="313" t="s">
        <v>709</v>
      </c>
      <c r="D6" s="314" t="s">
        <v>1307</v>
      </c>
      <c r="E6" s="315">
        <f>SUVESTINĖ!I45</f>
        <v>11150.9</v>
      </c>
      <c r="F6" s="310">
        <f t="shared" si="0"/>
        <v>8.9950310457596991</v>
      </c>
      <c r="G6" s="310"/>
      <c r="H6" s="310"/>
      <c r="I6" s="310"/>
      <c r="J6" s="310"/>
      <c r="K6" s="310"/>
    </row>
    <row r="7" spans="1:11" ht="24.75" customHeight="1" x14ac:dyDescent="0.2">
      <c r="A7" s="4088"/>
      <c r="B7" s="4089"/>
      <c r="C7" s="313" t="s">
        <v>727</v>
      </c>
      <c r="D7" s="314" t="s">
        <v>1328</v>
      </c>
      <c r="E7" s="315">
        <f>SUVESTINĖ!I60</f>
        <v>1869.6999999999996</v>
      </c>
      <c r="F7" s="310">
        <f t="shared" si="0"/>
        <v>1.5082199236166505</v>
      </c>
      <c r="G7" s="310"/>
      <c r="H7" s="310"/>
      <c r="I7" s="310"/>
      <c r="J7" s="310"/>
      <c r="K7" s="310"/>
    </row>
    <row r="8" spans="1:11" ht="22.5" customHeight="1" x14ac:dyDescent="0.2">
      <c r="A8" s="4088"/>
      <c r="B8" s="4089"/>
      <c r="C8" s="313" t="s">
        <v>1329</v>
      </c>
      <c r="D8" s="314" t="s">
        <v>1330</v>
      </c>
      <c r="E8" s="315">
        <f>SUVESTINĖ!I71</f>
        <v>29657.999999999993</v>
      </c>
      <c r="F8" s="310">
        <f t="shared" si="0"/>
        <v>23.924044763664021</v>
      </c>
      <c r="G8" s="310"/>
      <c r="H8" s="310"/>
      <c r="I8" s="310"/>
      <c r="J8" s="310"/>
      <c r="K8" s="310"/>
    </row>
    <row r="9" spans="1:11" ht="32.25" customHeight="1" x14ac:dyDescent="0.2">
      <c r="A9" s="4088" t="s">
        <v>709</v>
      </c>
      <c r="B9" s="4089" t="s">
        <v>1331</v>
      </c>
      <c r="C9" s="313" t="s">
        <v>588</v>
      </c>
      <c r="D9" s="314" t="s">
        <v>1311</v>
      </c>
      <c r="E9" s="315">
        <f>SUVESTINĖ!I100</f>
        <v>7267.4999999999991</v>
      </c>
      <c r="F9" s="310">
        <f t="shared" si="0"/>
        <v>5.8624315638252167</v>
      </c>
      <c r="G9" s="310"/>
      <c r="H9" s="310"/>
      <c r="I9" s="310"/>
      <c r="J9" s="310"/>
      <c r="K9" s="310"/>
    </row>
    <row r="10" spans="1:11" ht="21" customHeight="1" x14ac:dyDescent="0.2">
      <c r="A10" s="4088"/>
      <c r="B10" s="4089"/>
      <c r="C10" s="313" t="s">
        <v>1332</v>
      </c>
      <c r="D10" s="314" t="s">
        <v>1312</v>
      </c>
      <c r="E10" s="315">
        <f>SUVESTINĖ!I110</f>
        <v>3262.6000000000004</v>
      </c>
      <c r="F10" s="310">
        <f t="shared" si="0"/>
        <v>2.6318223901116142</v>
      </c>
      <c r="G10" s="310"/>
      <c r="H10" s="310"/>
      <c r="I10" s="310"/>
      <c r="J10" s="310"/>
      <c r="K10" s="310"/>
    </row>
    <row r="11" spans="1:11" ht="25.5" x14ac:dyDescent="0.2">
      <c r="A11" s="313" t="s">
        <v>727</v>
      </c>
      <c r="B11" s="314" t="s">
        <v>1333</v>
      </c>
      <c r="C11" s="313" t="s">
        <v>114</v>
      </c>
      <c r="D11" s="314" t="s">
        <v>1314</v>
      </c>
      <c r="E11" s="315">
        <f>SUVESTINĖ!I126</f>
        <v>14774.900000000003</v>
      </c>
      <c r="F11" s="310">
        <f t="shared" si="0"/>
        <v>11.918381852406085</v>
      </c>
      <c r="G11" s="310"/>
      <c r="H11" s="310"/>
      <c r="I11" s="310"/>
      <c r="J11" s="310"/>
      <c r="K11" s="310"/>
    </row>
    <row r="12" spans="1:11" ht="16.5" customHeight="1" x14ac:dyDescent="0.2">
      <c r="A12" s="4080"/>
      <c r="B12" s="4080"/>
      <c r="C12" s="4080"/>
      <c r="D12" s="310"/>
      <c r="E12" s="316">
        <f>SUM(E3:E11)</f>
        <v>123967.33200000001</v>
      </c>
      <c r="F12" s="310"/>
      <c r="G12" s="310"/>
      <c r="H12" s="310"/>
      <c r="I12" s="310"/>
      <c r="J12" s="310"/>
      <c r="K12" s="310"/>
    </row>
    <row r="13" spans="1:11" x14ac:dyDescent="0.2">
      <c r="A13" s="317"/>
      <c r="B13" s="310"/>
      <c r="C13" s="317"/>
      <c r="D13" s="310"/>
      <c r="E13" s="316"/>
      <c r="F13" s="310"/>
      <c r="G13" s="310"/>
      <c r="H13" s="310"/>
      <c r="I13" s="310"/>
      <c r="J13" s="310"/>
      <c r="K13" s="310"/>
    </row>
    <row r="14" spans="1:11" x14ac:dyDescent="0.2">
      <c r="A14" s="317"/>
      <c r="B14" s="310"/>
      <c r="C14" s="317"/>
      <c r="D14" s="310"/>
      <c r="E14" s="316"/>
      <c r="F14" s="310"/>
      <c r="G14" s="310"/>
      <c r="H14" s="310"/>
      <c r="I14" s="310"/>
      <c r="J14" s="310"/>
      <c r="K14" s="310"/>
    </row>
    <row r="15" spans="1:11" x14ac:dyDescent="0.2">
      <c r="A15" s="317"/>
      <c r="B15" s="310"/>
      <c r="C15" s="317"/>
      <c r="D15" s="310"/>
      <c r="E15" s="316"/>
      <c r="F15" s="310"/>
      <c r="G15" s="310"/>
      <c r="H15" s="310"/>
      <c r="I15" s="310"/>
      <c r="J15" s="310"/>
      <c r="K15" s="310"/>
    </row>
    <row r="16" spans="1:11" ht="25.5" x14ac:dyDescent="0.2">
      <c r="A16" s="317"/>
      <c r="B16" s="310"/>
      <c r="C16" s="317"/>
      <c r="D16" s="314" t="s">
        <v>1326</v>
      </c>
      <c r="E16" s="318">
        <f>E3+E4+E5</f>
        <v>55983.732000000004</v>
      </c>
      <c r="F16" s="310"/>
      <c r="G16" s="310"/>
      <c r="H16" s="310"/>
      <c r="I16" s="310"/>
      <c r="J16" s="310"/>
      <c r="K16" s="310"/>
    </row>
    <row r="17" spans="1:11" ht="12.75" customHeight="1" x14ac:dyDescent="0.2">
      <c r="A17" s="317"/>
      <c r="C17" s="317"/>
      <c r="D17" s="314" t="s">
        <v>1327</v>
      </c>
      <c r="E17" s="318">
        <f>E6+E7+E8</f>
        <v>42678.599999999991</v>
      </c>
      <c r="F17" s="310"/>
      <c r="G17" s="310"/>
      <c r="H17" s="310"/>
      <c r="I17" s="310"/>
      <c r="J17" s="310"/>
      <c r="K17" s="310"/>
    </row>
    <row r="18" spans="1:11" x14ac:dyDescent="0.2">
      <c r="A18" s="317"/>
      <c r="C18" s="317"/>
      <c r="D18" s="314" t="s">
        <v>1331</v>
      </c>
      <c r="E18" s="318">
        <f>E9+E10</f>
        <v>10530.099999999999</v>
      </c>
      <c r="F18" s="310"/>
      <c r="G18" s="310"/>
      <c r="H18" s="310"/>
      <c r="I18" s="310"/>
      <c r="J18" s="310"/>
      <c r="K18" s="310"/>
    </row>
    <row r="19" spans="1:11" x14ac:dyDescent="0.2">
      <c r="A19" s="317"/>
      <c r="C19" s="317"/>
      <c r="D19" s="314" t="s">
        <v>1333</v>
      </c>
      <c r="E19" s="318">
        <f>E11</f>
        <v>14774.900000000003</v>
      </c>
      <c r="F19" s="310"/>
      <c r="G19" s="310"/>
      <c r="H19" s="310"/>
      <c r="I19" s="310"/>
      <c r="J19" s="310"/>
      <c r="K19" s="310"/>
    </row>
    <row r="20" spans="1:11" x14ac:dyDescent="0.2">
      <c r="A20" s="317"/>
      <c r="C20" s="310"/>
      <c r="D20" s="314"/>
      <c r="E20" s="318">
        <f>SUM(E16:E19)</f>
        <v>123967.33200000001</v>
      </c>
      <c r="F20" s="310"/>
      <c r="G20" s="310"/>
      <c r="H20" s="310"/>
      <c r="I20" s="310"/>
      <c r="J20" s="310"/>
      <c r="K20" s="310"/>
    </row>
    <row r="21" spans="1:11" x14ac:dyDescent="0.2">
      <c r="A21" s="317"/>
      <c r="B21" s="310"/>
      <c r="C21" s="310"/>
      <c r="D21" s="310"/>
      <c r="E21" s="316"/>
      <c r="F21" s="310"/>
      <c r="G21" s="310"/>
      <c r="H21" s="310"/>
      <c r="I21" s="310"/>
      <c r="J21" s="310"/>
      <c r="K21" s="310"/>
    </row>
    <row r="22" spans="1:11" x14ac:dyDescent="0.2">
      <c r="A22" s="317"/>
      <c r="B22" s="310"/>
      <c r="C22" s="310"/>
      <c r="D22" s="310"/>
      <c r="E22" s="316"/>
      <c r="F22" s="310"/>
      <c r="G22" s="310"/>
      <c r="H22" s="310"/>
      <c r="I22" s="310"/>
      <c r="J22" s="310"/>
      <c r="K22" s="310"/>
    </row>
    <row r="23" spans="1:11" x14ac:dyDescent="0.2">
      <c r="A23" s="317"/>
      <c r="B23" s="310"/>
      <c r="C23" s="310"/>
      <c r="D23" s="310"/>
      <c r="E23" s="316"/>
      <c r="F23" s="310"/>
      <c r="G23" s="310"/>
      <c r="H23" s="310"/>
      <c r="I23" s="310"/>
      <c r="J23" s="310"/>
      <c r="K23" s="310"/>
    </row>
    <row r="24" spans="1:11" x14ac:dyDescent="0.2">
      <c r="A24" s="317"/>
      <c r="B24" s="310"/>
      <c r="C24" s="310"/>
      <c r="D24" s="310"/>
      <c r="E24" s="316"/>
      <c r="F24" s="310"/>
      <c r="G24" s="310"/>
      <c r="H24" s="310"/>
      <c r="I24" s="310"/>
      <c r="J24" s="310"/>
      <c r="K24" s="310"/>
    </row>
    <row r="25" spans="1:11" x14ac:dyDescent="0.2">
      <c r="A25" s="310"/>
      <c r="B25" s="310"/>
      <c r="C25" s="310"/>
      <c r="D25" s="310"/>
      <c r="E25" s="316"/>
      <c r="F25" s="310"/>
      <c r="G25" s="310"/>
      <c r="H25" s="310"/>
      <c r="I25" s="310"/>
      <c r="J25" s="310"/>
      <c r="K25" s="310"/>
    </row>
    <row r="26" spans="1:11" x14ac:dyDescent="0.2">
      <c r="A26" s="310"/>
      <c r="B26" s="310"/>
      <c r="C26" s="310"/>
      <c r="D26" s="310"/>
      <c r="E26" s="316"/>
      <c r="F26" s="310"/>
      <c r="G26" s="310"/>
      <c r="H26" s="310"/>
      <c r="I26" s="310"/>
      <c r="J26" s="310"/>
      <c r="K26" s="310"/>
    </row>
    <row r="27" spans="1:11" x14ac:dyDescent="0.2">
      <c r="A27" s="310"/>
      <c r="B27" s="310"/>
      <c r="C27" s="310"/>
      <c r="D27" s="310"/>
      <c r="E27" s="316"/>
      <c r="F27" s="310"/>
      <c r="G27" s="310"/>
      <c r="H27" s="310"/>
      <c r="I27" s="310"/>
      <c r="J27" s="310"/>
      <c r="K27" s="310"/>
    </row>
    <row r="28" spans="1:11" x14ac:dyDescent="0.2">
      <c r="A28" s="310"/>
      <c r="B28" s="310"/>
      <c r="C28" s="310"/>
      <c r="D28" s="310"/>
      <c r="E28" s="316"/>
      <c r="F28" s="310"/>
      <c r="G28" s="310"/>
      <c r="H28" s="310"/>
      <c r="I28" s="310"/>
      <c r="J28" s="310"/>
      <c r="K28" s="310"/>
    </row>
    <row r="29" spans="1:11" x14ac:dyDescent="0.2">
      <c r="A29" s="310"/>
      <c r="B29" s="310"/>
      <c r="C29" s="310"/>
      <c r="D29" s="310"/>
      <c r="E29" s="316"/>
      <c r="F29" s="310"/>
      <c r="G29" s="310"/>
      <c r="H29" s="310"/>
      <c r="I29" s="310"/>
      <c r="J29" s="310"/>
      <c r="K29" s="310"/>
    </row>
    <row r="30" spans="1:11" x14ac:dyDescent="0.2">
      <c r="A30" s="310"/>
      <c r="B30" s="310"/>
      <c r="C30" s="310"/>
      <c r="D30" s="310"/>
      <c r="E30" s="316"/>
      <c r="F30" s="310"/>
      <c r="G30" s="310"/>
      <c r="H30" s="310"/>
      <c r="I30" s="310"/>
      <c r="J30" s="310"/>
      <c r="K30" s="310"/>
    </row>
    <row r="31" spans="1:11" x14ac:dyDescent="0.2">
      <c r="A31" s="310"/>
      <c r="B31" s="310"/>
      <c r="C31" s="310"/>
      <c r="D31" s="310"/>
      <c r="E31" s="316"/>
      <c r="F31" s="310"/>
      <c r="G31" s="310"/>
      <c r="H31" s="310"/>
      <c r="I31" s="310"/>
      <c r="J31" s="310"/>
      <c r="K31" s="310"/>
    </row>
    <row r="32" spans="1:11" x14ac:dyDescent="0.2">
      <c r="A32" s="310"/>
      <c r="B32" s="310"/>
      <c r="C32" s="310"/>
      <c r="D32" s="310"/>
      <c r="E32" s="316"/>
      <c r="F32" s="310"/>
      <c r="G32" s="310"/>
      <c r="H32" s="310"/>
      <c r="I32" s="310"/>
      <c r="J32" s="310"/>
      <c r="K32" s="310"/>
    </row>
    <row r="33" spans="1:11" x14ac:dyDescent="0.2">
      <c r="A33" s="310"/>
      <c r="B33" s="310"/>
      <c r="C33" s="310"/>
      <c r="D33" s="310"/>
      <c r="E33" s="316"/>
      <c r="F33" s="310"/>
      <c r="G33" s="310"/>
      <c r="H33" s="310"/>
      <c r="I33" s="310"/>
      <c r="J33" s="310"/>
      <c r="K33" s="310"/>
    </row>
    <row r="34" spans="1:11" x14ac:dyDescent="0.2">
      <c r="A34" s="310"/>
      <c r="B34" s="310"/>
      <c r="C34" s="310"/>
      <c r="D34" s="310"/>
      <c r="E34" s="316"/>
      <c r="F34" s="310"/>
      <c r="G34" s="310"/>
      <c r="H34" s="310"/>
      <c r="I34" s="310"/>
      <c r="J34" s="310"/>
      <c r="K34" s="310"/>
    </row>
    <row r="35" spans="1:11" x14ac:dyDescent="0.2">
      <c r="A35" s="310"/>
      <c r="B35" s="310"/>
      <c r="C35" s="310"/>
      <c r="D35" s="310"/>
      <c r="E35" s="316"/>
      <c r="F35" s="310"/>
      <c r="G35" s="310"/>
      <c r="H35" s="310"/>
      <c r="I35" s="310"/>
      <c r="J35" s="310"/>
      <c r="K35" s="310"/>
    </row>
    <row r="36" spans="1:11" x14ac:dyDescent="0.2">
      <c r="A36" s="310"/>
      <c r="B36" s="310"/>
      <c r="C36" s="310"/>
      <c r="D36" s="310"/>
      <c r="E36" s="316"/>
      <c r="F36" s="310"/>
      <c r="G36" s="310"/>
      <c r="H36" s="310"/>
      <c r="I36" s="310"/>
      <c r="J36" s="310"/>
      <c r="K36" s="310"/>
    </row>
    <row r="37" spans="1:11" x14ac:dyDescent="0.2">
      <c r="A37" s="310"/>
      <c r="B37" s="310"/>
      <c r="C37" s="310"/>
      <c r="D37" s="310"/>
      <c r="E37" s="316"/>
      <c r="F37" s="310"/>
      <c r="G37" s="310"/>
      <c r="H37" s="310"/>
      <c r="I37" s="310"/>
      <c r="J37" s="310"/>
      <c r="K37" s="310"/>
    </row>
  </sheetData>
  <mergeCells count="8">
    <mergeCell ref="A12:C12"/>
    <mergeCell ref="A1:E1"/>
    <mergeCell ref="A3:A5"/>
    <mergeCell ref="B3:B5"/>
    <mergeCell ref="A6:A8"/>
    <mergeCell ref="B6:B8"/>
    <mergeCell ref="A9:A10"/>
    <mergeCell ref="B9:B10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1"/>
  <sheetViews>
    <sheetView showZeros="0" topLeftCell="A34" zoomScale="110" zoomScaleNormal="110" zoomScaleSheetLayoutView="100" workbookViewId="0">
      <selection activeCell="F52" sqref="F52:H52"/>
    </sheetView>
  </sheetViews>
  <sheetFormatPr defaultColWidth="8.85546875" defaultRowHeight="12.75" x14ac:dyDescent="0.2"/>
  <cols>
    <col min="1" max="1" width="4.28515625" style="535" customWidth="1"/>
    <col min="2" max="2" width="3.140625" style="535" customWidth="1"/>
    <col min="3" max="3" width="3" style="535" customWidth="1"/>
    <col min="4" max="4" width="18.5703125" style="634" customWidth="1"/>
    <col min="5" max="5" width="4.7109375" style="535" customWidth="1"/>
    <col min="6" max="6" width="9.42578125" style="339" customWidth="1"/>
    <col min="7" max="7" width="10.140625" style="635" customWidth="1"/>
    <col min="8" max="8" width="5.5703125" style="339" customWidth="1"/>
    <col min="9" max="9" width="7" style="541" customWidth="1"/>
    <col min="10" max="12" width="7" style="342" customWidth="1"/>
    <col min="13" max="13" width="7" style="541" customWidth="1"/>
    <col min="14" max="16" width="7" style="342" customWidth="1"/>
    <col min="17" max="17" width="7" style="541" customWidth="1"/>
    <col min="18" max="20" width="7" style="342" customWidth="1"/>
    <col min="21" max="21" width="7" style="541" customWidth="1"/>
    <col min="22" max="24" width="7" style="342" customWidth="1"/>
    <col min="25" max="25" width="3.7109375" style="431" customWidth="1"/>
    <col min="26" max="16384" width="8.85546875" style="431"/>
  </cols>
  <sheetData>
    <row r="1" spans="1:24" ht="44.25" customHeight="1" x14ac:dyDescent="0.2">
      <c r="A1" s="641"/>
      <c r="B1" s="642"/>
      <c r="C1" s="642"/>
      <c r="D1" s="2333"/>
      <c r="E1" s="642"/>
      <c r="F1" s="644"/>
      <c r="G1" s="2334"/>
      <c r="H1" s="644"/>
      <c r="I1" s="2335"/>
      <c r="J1" s="2335"/>
      <c r="K1" s="2335"/>
      <c r="L1" s="2336"/>
      <c r="M1" s="2336"/>
      <c r="N1" s="2336"/>
      <c r="O1" s="2336"/>
      <c r="P1" s="2335"/>
      <c r="Q1" s="2335"/>
      <c r="R1" s="2335"/>
      <c r="S1" s="2335"/>
      <c r="T1" s="2335"/>
      <c r="U1" s="2745" t="s">
        <v>223</v>
      </c>
      <c r="V1" s="2745"/>
      <c r="W1" s="2745"/>
      <c r="X1" s="2746"/>
    </row>
    <row r="2" spans="1:24" ht="22.5" customHeight="1" x14ac:dyDescent="0.25">
      <c r="A2" s="2678" t="s">
        <v>224</v>
      </c>
      <c r="B2" s="2679"/>
      <c r="C2" s="2679"/>
      <c r="D2" s="2679"/>
      <c r="E2" s="2679"/>
      <c r="F2" s="2679"/>
      <c r="G2" s="2679"/>
      <c r="H2" s="2679"/>
      <c r="I2" s="2679"/>
      <c r="J2" s="2679"/>
      <c r="K2" s="2679"/>
      <c r="L2" s="2679"/>
      <c r="M2" s="2679"/>
      <c r="N2" s="2679"/>
      <c r="O2" s="2679"/>
      <c r="P2" s="2679"/>
      <c r="Q2" s="2679"/>
      <c r="R2" s="2679"/>
      <c r="S2" s="2679"/>
      <c r="T2" s="2679"/>
      <c r="U2" s="2679"/>
      <c r="V2" s="2679"/>
      <c r="W2" s="2679"/>
      <c r="X2" s="2680"/>
    </row>
    <row r="3" spans="1:24" ht="13.5" thickBot="1" x14ac:dyDescent="0.25">
      <c r="A3" s="2747"/>
      <c r="B3" s="2748"/>
      <c r="C3" s="2748"/>
      <c r="D3" s="2748"/>
      <c r="E3" s="2748"/>
      <c r="F3" s="2748"/>
      <c r="G3" s="2748"/>
      <c r="H3" s="2748"/>
      <c r="I3" s="2337"/>
      <c r="J3" s="2240"/>
      <c r="K3" s="2749"/>
      <c r="L3" s="2749"/>
      <c r="M3" s="2337"/>
      <c r="N3" s="2240"/>
      <c r="O3" s="2749"/>
      <c r="P3" s="2749"/>
      <c r="Q3" s="2337"/>
      <c r="R3" s="2240"/>
      <c r="S3" s="2749"/>
      <c r="T3" s="2749"/>
      <c r="U3" s="2337"/>
      <c r="V3" s="2240"/>
      <c r="W3" s="2749" t="s">
        <v>2</v>
      </c>
      <c r="X3" s="2750"/>
    </row>
    <row r="4" spans="1:24" s="542" customFormat="1" ht="11.25" customHeight="1" x14ac:dyDescent="0.2">
      <c r="A4" s="2761" t="s">
        <v>3</v>
      </c>
      <c r="B4" s="2755" t="s">
        <v>4</v>
      </c>
      <c r="C4" s="2755" t="s">
        <v>5</v>
      </c>
      <c r="D4" s="2764" t="s">
        <v>6</v>
      </c>
      <c r="E4" s="2755" t="s">
        <v>7</v>
      </c>
      <c r="F4" s="2755" t="s">
        <v>8</v>
      </c>
      <c r="G4" s="2755" t="s">
        <v>9</v>
      </c>
      <c r="H4" s="2758" t="s">
        <v>10</v>
      </c>
      <c r="I4" s="2656" t="s">
        <v>11</v>
      </c>
      <c r="J4" s="2654"/>
      <c r="K4" s="2654"/>
      <c r="L4" s="2655"/>
      <c r="M4" s="2656" t="s">
        <v>12</v>
      </c>
      <c r="N4" s="2654"/>
      <c r="O4" s="2654"/>
      <c r="P4" s="2655"/>
      <c r="Q4" s="2656" t="s">
        <v>13</v>
      </c>
      <c r="R4" s="2654"/>
      <c r="S4" s="2654"/>
      <c r="T4" s="2655"/>
      <c r="U4" s="2656" t="s">
        <v>14</v>
      </c>
      <c r="V4" s="2654"/>
      <c r="W4" s="2654"/>
      <c r="X4" s="2655"/>
    </row>
    <row r="5" spans="1:24" s="542" customFormat="1" ht="11.25" customHeight="1" x14ac:dyDescent="0.2">
      <c r="A5" s="2762"/>
      <c r="B5" s="2756"/>
      <c r="C5" s="2756"/>
      <c r="D5" s="2504"/>
      <c r="E5" s="2756"/>
      <c r="F5" s="2756"/>
      <c r="G5" s="2756"/>
      <c r="H5" s="2759"/>
      <c r="I5" s="2644" t="s">
        <v>15</v>
      </c>
      <c r="J5" s="2646" t="s">
        <v>16</v>
      </c>
      <c r="K5" s="2646"/>
      <c r="L5" s="2647"/>
      <c r="M5" s="2644" t="s">
        <v>15</v>
      </c>
      <c r="N5" s="2646" t="s">
        <v>16</v>
      </c>
      <c r="O5" s="2646"/>
      <c r="P5" s="2647"/>
      <c r="Q5" s="2644" t="s">
        <v>15</v>
      </c>
      <c r="R5" s="2646" t="s">
        <v>16</v>
      </c>
      <c r="S5" s="2646"/>
      <c r="T5" s="2647"/>
      <c r="U5" s="2644" t="s">
        <v>15</v>
      </c>
      <c r="V5" s="2646" t="s">
        <v>16</v>
      </c>
      <c r="W5" s="2646"/>
      <c r="X5" s="2647"/>
    </row>
    <row r="6" spans="1:24" s="542" customFormat="1" ht="11.25" customHeight="1" x14ac:dyDescent="0.2">
      <c r="A6" s="2762"/>
      <c r="B6" s="2756"/>
      <c r="C6" s="2756"/>
      <c r="D6" s="2504"/>
      <c r="E6" s="2756"/>
      <c r="F6" s="2756"/>
      <c r="G6" s="2756"/>
      <c r="H6" s="2759"/>
      <c r="I6" s="2644"/>
      <c r="J6" s="2751" t="s">
        <v>17</v>
      </c>
      <c r="K6" s="2752"/>
      <c r="L6" s="2648" t="s">
        <v>18</v>
      </c>
      <c r="M6" s="2644"/>
      <c r="N6" s="2751" t="s">
        <v>17</v>
      </c>
      <c r="O6" s="2752"/>
      <c r="P6" s="2648" t="s">
        <v>18</v>
      </c>
      <c r="Q6" s="2644"/>
      <c r="R6" s="2751" t="s">
        <v>17</v>
      </c>
      <c r="S6" s="2752"/>
      <c r="T6" s="2648" t="s">
        <v>18</v>
      </c>
      <c r="U6" s="2644"/>
      <c r="V6" s="2751" t="s">
        <v>17</v>
      </c>
      <c r="W6" s="2752"/>
      <c r="X6" s="2648" t="s">
        <v>18</v>
      </c>
    </row>
    <row r="7" spans="1:24" s="542" customFormat="1" ht="49.5" customHeight="1" thickBot="1" x14ac:dyDescent="0.25">
      <c r="A7" s="2763"/>
      <c r="B7" s="2757"/>
      <c r="C7" s="2757"/>
      <c r="D7" s="2709"/>
      <c r="E7" s="2757"/>
      <c r="F7" s="2757"/>
      <c r="G7" s="2757"/>
      <c r="H7" s="2760"/>
      <c r="I7" s="2754"/>
      <c r="J7" s="543" t="s">
        <v>15</v>
      </c>
      <c r="K7" s="544" t="s">
        <v>19</v>
      </c>
      <c r="L7" s="2753"/>
      <c r="M7" s="2754"/>
      <c r="N7" s="543" t="s">
        <v>15</v>
      </c>
      <c r="O7" s="544" t="s">
        <v>19</v>
      </c>
      <c r="P7" s="2753"/>
      <c r="Q7" s="2754"/>
      <c r="R7" s="543" t="s">
        <v>15</v>
      </c>
      <c r="S7" s="544" t="s">
        <v>19</v>
      </c>
      <c r="T7" s="2753"/>
      <c r="U7" s="2754"/>
      <c r="V7" s="543" t="s">
        <v>15</v>
      </c>
      <c r="W7" s="544" t="s">
        <v>19</v>
      </c>
      <c r="X7" s="2753"/>
    </row>
    <row r="8" spans="1:24" s="537" customFormat="1" ht="12" customHeight="1" thickBot="1" x14ac:dyDescent="0.25">
      <c r="A8" s="2634" t="s">
        <v>20</v>
      </c>
      <c r="B8" s="2765"/>
      <c r="C8" s="2765"/>
      <c r="D8" s="2765"/>
      <c r="E8" s="2765"/>
      <c r="F8" s="2765"/>
      <c r="G8" s="2765"/>
      <c r="H8" s="2765"/>
      <c r="I8" s="2765"/>
      <c r="J8" s="2765"/>
      <c r="K8" s="2765"/>
      <c r="L8" s="2765"/>
      <c r="M8" s="2765"/>
      <c r="N8" s="2765"/>
      <c r="O8" s="2765"/>
      <c r="P8" s="2765"/>
      <c r="Q8" s="2765"/>
      <c r="R8" s="2765"/>
      <c r="S8" s="2765"/>
      <c r="T8" s="2765"/>
      <c r="U8" s="2765"/>
      <c r="V8" s="2765"/>
      <c r="W8" s="2765"/>
      <c r="X8" s="2766"/>
    </row>
    <row r="9" spans="1:24" s="537" customFormat="1" ht="12" customHeight="1" thickBot="1" x14ac:dyDescent="0.25">
      <c r="A9" s="2637" t="s">
        <v>225</v>
      </c>
      <c r="B9" s="2767"/>
      <c r="C9" s="2767"/>
      <c r="D9" s="2767"/>
      <c r="E9" s="2767"/>
      <c r="F9" s="2767"/>
      <c r="G9" s="2767"/>
      <c r="H9" s="2767"/>
      <c r="I9" s="2767"/>
      <c r="J9" s="2767"/>
      <c r="K9" s="2767"/>
      <c r="L9" s="2767"/>
      <c r="M9" s="2767"/>
      <c r="N9" s="2767"/>
      <c r="O9" s="2767"/>
      <c r="P9" s="2767"/>
      <c r="Q9" s="2767"/>
      <c r="R9" s="2767"/>
      <c r="S9" s="2767"/>
      <c r="T9" s="2767"/>
      <c r="U9" s="2767"/>
      <c r="V9" s="2767"/>
      <c r="W9" s="2767"/>
      <c r="X9" s="2768"/>
    </row>
    <row r="10" spans="1:24" s="537" customFormat="1" ht="12" customHeight="1" thickBot="1" x14ac:dyDescent="0.25">
      <c r="A10" s="545">
        <v>1</v>
      </c>
      <c r="B10" s="2717" t="s">
        <v>226</v>
      </c>
      <c r="C10" s="2550"/>
      <c r="D10" s="2550"/>
      <c r="E10" s="2550"/>
      <c r="F10" s="2550"/>
      <c r="G10" s="2550"/>
      <c r="H10" s="2550"/>
      <c r="I10" s="2550"/>
      <c r="J10" s="2550"/>
      <c r="K10" s="2550"/>
      <c r="L10" s="2550"/>
      <c r="M10" s="2550"/>
      <c r="N10" s="2550"/>
      <c r="O10" s="2550"/>
      <c r="P10" s="2550"/>
      <c r="Q10" s="2550"/>
      <c r="R10" s="2550"/>
      <c r="S10" s="2550"/>
      <c r="T10" s="2550"/>
      <c r="U10" s="2550"/>
      <c r="V10" s="2550"/>
      <c r="W10" s="2550"/>
      <c r="X10" s="2551"/>
    </row>
    <row r="11" spans="1:24" s="537" customFormat="1" ht="17.25" customHeight="1" thickBot="1" x14ac:dyDescent="0.25">
      <c r="A11" s="546">
        <v>1</v>
      </c>
      <c r="B11" s="547">
        <v>1</v>
      </c>
      <c r="C11" s="2552" t="s">
        <v>227</v>
      </c>
      <c r="D11" s="2553"/>
      <c r="E11" s="2553"/>
      <c r="F11" s="2553"/>
      <c r="G11" s="2553"/>
      <c r="H11" s="2553"/>
      <c r="I11" s="2553"/>
      <c r="J11" s="2553"/>
      <c r="K11" s="2553"/>
      <c r="L11" s="2553"/>
      <c r="M11" s="2553"/>
      <c r="N11" s="2553"/>
      <c r="O11" s="2553"/>
      <c r="P11" s="2553"/>
      <c r="Q11" s="2553"/>
      <c r="R11" s="2553"/>
      <c r="S11" s="2553"/>
      <c r="T11" s="2553"/>
      <c r="U11" s="2553"/>
      <c r="V11" s="2553"/>
      <c r="W11" s="2553"/>
      <c r="X11" s="2554"/>
    </row>
    <row r="12" spans="1:24" s="537" customFormat="1" ht="24" customHeight="1" thickBot="1" x14ac:dyDescent="0.25">
      <c r="A12" s="2487">
        <v>1</v>
      </c>
      <c r="B12" s="2541">
        <v>1</v>
      </c>
      <c r="C12" s="2513">
        <v>1</v>
      </c>
      <c r="D12" s="2504" t="s">
        <v>228</v>
      </c>
      <c r="E12" s="2523">
        <v>15</v>
      </c>
      <c r="F12" s="2433" t="s">
        <v>229</v>
      </c>
      <c r="G12" s="2433" t="s">
        <v>230</v>
      </c>
      <c r="H12" s="364" t="s">
        <v>30</v>
      </c>
      <c r="I12" s="2382">
        <f t="shared" ref="I12" si="0">J12</f>
        <v>34</v>
      </c>
      <c r="J12" s="2383">
        <v>34</v>
      </c>
      <c r="K12" s="2383"/>
      <c r="L12" s="2384"/>
      <c r="M12" s="2382">
        <f>N12+P12</f>
        <v>50</v>
      </c>
      <c r="N12" s="2383">
        <v>50</v>
      </c>
      <c r="O12" s="2383"/>
      <c r="P12" s="2384"/>
      <c r="Q12" s="548">
        <f>R12+T12</f>
        <v>50</v>
      </c>
      <c r="R12" s="438">
        <v>50</v>
      </c>
      <c r="S12" s="438"/>
      <c r="T12" s="439"/>
      <c r="U12" s="2382">
        <f>V12+X12</f>
        <v>50</v>
      </c>
      <c r="V12" s="2383">
        <v>50</v>
      </c>
      <c r="W12" s="2383"/>
      <c r="X12" s="2384"/>
    </row>
    <row r="13" spans="1:24" s="537" customFormat="1" ht="23.1" customHeight="1" thickBot="1" x14ac:dyDescent="0.25">
      <c r="A13" s="2488"/>
      <c r="B13" s="2542"/>
      <c r="C13" s="2531"/>
      <c r="D13" s="2505"/>
      <c r="E13" s="2603"/>
      <c r="F13" s="2583" t="s">
        <v>35</v>
      </c>
      <c r="G13" s="2584"/>
      <c r="H13" s="2546"/>
      <c r="I13" s="359">
        <f>J13+L13</f>
        <v>34</v>
      </c>
      <c r="J13" s="360">
        <f>J12</f>
        <v>34</v>
      </c>
      <c r="K13" s="360">
        <f>K12</f>
        <v>0</v>
      </c>
      <c r="L13" s="362">
        <f>L12</f>
        <v>0</v>
      </c>
      <c r="M13" s="359">
        <f>N13+P13</f>
        <v>50</v>
      </c>
      <c r="N13" s="360">
        <f>N12</f>
        <v>50</v>
      </c>
      <c r="O13" s="360">
        <f>O12</f>
        <v>0</v>
      </c>
      <c r="P13" s="361">
        <f>P12</f>
        <v>0</v>
      </c>
      <c r="Q13" s="359">
        <f>R13+T13</f>
        <v>50</v>
      </c>
      <c r="R13" s="387">
        <f>R12</f>
        <v>50</v>
      </c>
      <c r="S13" s="387">
        <f>S12</f>
        <v>0</v>
      </c>
      <c r="T13" s="388">
        <f>T12</f>
        <v>0</v>
      </c>
      <c r="U13" s="363">
        <f>V13+X13</f>
        <v>50</v>
      </c>
      <c r="V13" s="387">
        <f>V12</f>
        <v>50</v>
      </c>
      <c r="W13" s="387">
        <f>W12</f>
        <v>0</v>
      </c>
      <c r="X13" s="388">
        <f>X12</f>
        <v>0</v>
      </c>
    </row>
    <row r="14" spans="1:24" s="537" customFormat="1" ht="18.75" customHeight="1" thickBot="1" x14ac:dyDescent="0.25">
      <c r="A14" s="2486">
        <v>1</v>
      </c>
      <c r="B14" s="2540">
        <v>1</v>
      </c>
      <c r="C14" s="2510">
        <v>2</v>
      </c>
      <c r="D14" s="2503" t="s">
        <v>231</v>
      </c>
      <c r="E14" s="2511">
        <v>18</v>
      </c>
      <c r="F14" s="2401" t="s">
        <v>232</v>
      </c>
      <c r="G14" s="2401" t="s">
        <v>233</v>
      </c>
      <c r="H14" s="436" t="s">
        <v>30</v>
      </c>
      <c r="I14" s="2382">
        <f>J14+L14</f>
        <v>10</v>
      </c>
      <c r="J14" s="2383">
        <v>10</v>
      </c>
      <c r="K14" s="2383"/>
      <c r="L14" s="2384"/>
      <c r="M14" s="2382">
        <f>N14+P14</f>
        <v>10</v>
      </c>
      <c r="N14" s="2383">
        <v>10</v>
      </c>
      <c r="O14" s="2383"/>
      <c r="P14" s="2384"/>
      <c r="Q14" s="2382">
        <f>R14+T14</f>
        <v>10</v>
      </c>
      <c r="R14" s="2383">
        <v>10</v>
      </c>
      <c r="S14" s="2383"/>
      <c r="T14" s="2384"/>
      <c r="U14" s="2382">
        <f>V14+X14</f>
        <v>10</v>
      </c>
      <c r="V14" s="2383">
        <v>10</v>
      </c>
      <c r="W14" s="2383"/>
      <c r="X14" s="2384"/>
    </row>
    <row r="15" spans="1:24" s="537" customFormat="1" ht="18.75" customHeight="1" thickBot="1" x14ac:dyDescent="0.25">
      <c r="A15" s="2488"/>
      <c r="B15" s="2541"/>
      <c r="C15" s="2502"/>
      <c r="D15" s="2709"/>
      <c r="E15" s="2744"/>
      <c r="F15" s="2516" t="s">
        <v>35</v>
      </c>
      <c r="G15" s="2517"/>
      <c r="H15" s="2518"/>
      <c r="I15" s="374">
        <f t="shared" ref="I15:L15" si="1">SUM(I14)</f>
        <v>10</v>
      </c>
      <c r="J15" s="360">
        <f t="shared" si="1"/>
        <v>10</v>
      </c>
      <c r="K15" s="360">
        <f t="shared" si="1"/>
        <v>0</v>
      </c>
      <c r="L15" s="361">
        <f t="shared" si="1"/>
        <v>0</v>
      </c>
      <c r="M15" s="360">
        <f>M14</f>
        <v>10</v>
      </c>
      <c r="N15" s="360">
        <f>N14</f>
        <v>10</v>
      </c>
      <c r="O15" s="360"/>
      <c r="P15" s="361"/>
      <c r="Q15" s="360">
        <f>Q14</f>
        <v>10</v>
      </c>
      <c r="R15" s="360">
        <f>R14</f>
        <v>10</v>
      </c>
      <c r="S15" s="360"/>
      <c r="T15" s="361"/>
      <c r="U15" s="360">
        <f>U14</f>
        <v>10</v>
      </c>
      <c r="V15" s="360">
        <f>V14</f>
        <v>10</v>
      </c>
      <c r="W15" s="360"/>
      <c r="X15" s="361"/>
    </row>
    <row r="16" spans="1:24" s="537" customFormat="1" ht="12" customHeight="1" thickBot="1" x14ac:dyDescent="0.25">
      <c r="A16" s="549">
        <v>1</v>
      </c>
      <c r="B16" s="550">
        <v>1</v>
      </c>
      <c r="C16" s="2739" t="s">
        <v>234</v>
      </c>
      <c r="D16" s="2740"/>
      <c r="E16" s="2740"/>
      <c r="F16" s="2740"/>
      <c r="G16" s="2740"/>
      <c r="H16" s="2741"/>
      <c r="I16" s="551">
        <f>J16</f>
        <v>44</v>
      </c>
      <c r="J16" s="552">
        <f>J13+J15</f>
        <v>44</v>
      </c>
      <c r="K16" s="552"/>
      <c r="L16" s="553"/>
      <c r="M16" s="551">
        <f>N16</f>
        <v>60</v>
      </c>
      <c r="N16" s="552">
        <f>N13+N15</f>
        <v>60</v>
      </c>
      <c r="O16" s="552"/>
      <c r="P16" s="553"/>
      <c r="Q16" s="551">
        <f>R16</f>
        <v>60</v>
      </c>
      <c r="R16" s="552">
        <f>R13+R15</f>
        <v>60</v>
      </c>
      <c r="S16" s="552"/>
      <c r="T16" s="553"/>
      <c r="U16" s="551">
        <f>V16</f>
        <v>60</v>
      </c>
      <c r="V16" s="552">
        <f>V13+V15</f>
        <v>60</v>
      </c>
      <c r="W16" s="552"/>
      <c r="X16" s="553"/>
    </row>
    <row r="17" spans="1:58" s="537" customFormat="1" ht="12" customHeight="1" thickBot="1" x14ac:dyDescent="0.25">
      <c r="A17" s="554">
        <v>1</v>
      </c>
      <c r="B17" s="2548" t="s">
        <v>167</v>
      </c>
      <c r="C17" s="2479"/>
      <c r="D17" s="2479"/>
      <c r="E17" s="2479"/>
      <c r="F17" s="2479"/>
      <c r="G17" s="2479"/>
      <c r="H17" s="2480"/>
      <c r="I17" s="555">
        <f>J17+L17</f>
        <v>44</v>
      </c>
      <c r="J17" s="510">
        <f>J16</f>
        <v>44</v>
      </c>
      <c r="K17" s="510">
        <f>K16</f>
        <v>0</v>
      </c>
      <c r="L17" s="468">
        <f>L16</f>
        <v>0</v>
      </c>
      <c r="M17" s="555">
        <f>N17+P17</f>
        <v>60</v>
      </c>
      <c r="N17" s="510">
        <f>N16</f>
        <v>60</v>
      </c>
      <c r="O17" s="510">
        <f>O16</f>
        <v>0</v>
      </c>
      <c r="P17" s="468">
        <f>P16</f>
        <v>0</v>
      </c>
      <c r="Q17" s="555">
        <f>R17+T17</f>
        <v>60</v>
      </c>
      <c r="R17" s="510">
        <f>R16</f>
        <v>60</v>
      </c>
      <c r="S17" s="510">
        <f>S16</f>
        <v>0</v>
      </c>
      <c r="T17" s="468">
        <f>T16</f>
        <v>0</v>
      </c>
      <c r="U17" s="555">
        <f>V17+X17</f>
        <v>60</v>
      </c>
      <c r="V17" s="510">
        <f>V16</f>
        <v>60</v>
      </c>
      <c r="W17" s="510">
        <f>W16</f>
        <v>0</v>
      </c>
      <c r="X17" s="468">
        <f>X16</f>
        <v>0</v>
      </c>
    </row>
    <row r="18" spans="1:58" s="537" customFormat="1" ht="14.25" customHeight="1" thickBot="1" x14ac:dyDescent="0.25">
      <c r="A18" s="556">
        <v>2</v>
      </c>
      <c r="B18" s="2717" t="s">
        <v>235</v>
      </c>
      <c r="C18" s="2550"/>
      <c r="D18" s="2550"/>
      <c r="E18" s="2550"/>
      <c r="F18" s="2550"/>
      <c r="G18" s="2550"/>
      <c r="H18" s="2550"/>
      <c r="I18" s="2550"/>
      <c r="J18" s="2550"/>
      <c r="K18" s="2550"/>
      <c r="L18" s="2550"/>
      <c r="M18" s="2550"/>
      <c r="N18" s="2550"/>
      <c r="O18" s="2550"/>
      <c r="P18" s="2550"/>
      <c r="Q18" s="2550"/>
      <c r="R18" s="2550"/>
      <c r="S18" s="2550"/>
      <c r="T18" s="2550"/>
      <c r="U18" s="2550"/>
      <c r="V18" s="2550"/>
      <c r="W18" s="2550"/>
      <c r="X18" s="2551"/>
    </row>
    <row r="19" spans="1:58" s="537" customFormat="1" ht="12" customHeight="1" thickBot="1" x14ac:dyDescent="0.25">
      <c r="A19" s="557">
        <v>2</v>
      </c>
      <c r="B19" s="558">
        <v>1</v>
      </c>
      <c r="C19" s="2552" t="s">
        <v>236</v>
      </c>
      <c r="D19" s="2553"/>
      <c r="E19" s="2553"/>
      <c r="F19" s="2553"/>
      <c r="G19" s="2553"/>
      <c r="H19" s="2553"/>
      <c r="I19" s="2553"/>
      <c r="J19" s="2553"/>
      <c r="K19" s="2553"/>
      <c r="L19" s="2553"/>
      <c r="M19" s="2553"/>
      <c r="N19" s="2553"/>
      <c r="O19" s="2553"/>
      <c r="P19" s="2553"/>
      <c r="Q19" s="2553"/>
      <c r="R19" s="2553"/>
      <c r="S19" s="2553"/>
      <c r="T19" s="2553"/>
      <c r="U19" s="2553"/>
      <c r="V19" s="2553"/>
      <c r="W19" s="2553"/>
      <c r="X19" s="2554"/>
    </row>
    <row r="20" spans="1:58" s="537" customFormat="1" ht="18" customHeight="1" x14ac:dyDescent="0.2">
      <c r="A20" s="2488">
        <v>2</v>
      </c>
      <c r="B20" s="2542">
        <v>1</v>
      </c>
      <c r="C20" s="2531">
        <v>1</v>
      </c>
      <c r="D20" s="2497" t="s">
        <v>237</v>
      </c>
      <c r="E20" s="2523">
        <v>18</v>
      </c>
      <c r="F20" s="2581" t="s">
        <v>238</v>
      </c>
      <c r="G20" s="2581" t="s">
        <v>239</v>
      </c>
      <c r="H20" s="364" t="s">
        <v>33</v>
      </c>
      <c r="I20" s="348">
        <f>J20</f>
        <v>238.7</v>
      </c>
      <c r="J20" s="349">
        <v>238.7</v>
      </c>
      <c r="K20" s="349"/>
      <c r="L20" s="350"/>
      <c r="M20" s="348">
        <f>N20+P20</f>
        <v>237.9</v>
      </c>
      <c r="N20" s="349">
        <v>237.9</v>
      </c>
      <c r="O20" s="349"/>
      <c r="P20" s="350"/>
      <c r="Q20" s="389">
        <f>R20+T20</f>
        <v>240.9</v>
      </c>
      <c r="R20" s="377">
        <v>240.9</v>
      </c>
      <c r="S20" s="377"/>
      <c r="T20" s="390"/>
      <c r="U20" s="389">
        <f>V20+X20</f>
        <v>240.9</v>
      </c>
      <c r="V20" s="377">
        <v>240.9</v>
      </c>
      <c r="W20" s="377"/>
      <c r="X20" s="390"/>
    </row>
    <row r="21" spans="1:58" s="537" customFormat="1" ht="28.9" customHeight="1" x14ac:dyDescent="0.2">
      <c r="A21" s="2488"/>
      <c r="B21" s="2542"/>
      <c r="C21" s="2531"/>
      <c r="D21" s="2497"/>
      <c r="E21" s="2523"/>
      <c r="F21" s="2513"/>
      <c r="G21" s="2513"/>
      <c r="H21" s="375" t="s">
        <v>31</v>
      </c>
      <c r="I21" s="2407"/>
      <c r="J21" s="2380"/>
      <c r="K21" s="2380"/>
      <c r="L21" s="2381"/>
      <c r="M21" s="2407"/>
      <c r="N21" s="2380"/>
      <c r="O21" s="2380"/>
      <c r="P21" s="2381"/>
      <c r="Q21" s="381"/>
      <c r="R21" s="382"/>
      <c r="S21" s="382"/>
      <c r="T21" s="382"/>
      <c r="U21" s="381"/>
      <c r="V21" s="382"/>
      <c r="W21" s="382"/>
      <c r="X21" s="368"/>
    </row>
    <row r="22" spans="1:58" s="537" customFormat="1" ht="15.4" customHeight="1" x14ac:dyDescent="0.2">
      <c r="A22" s="2488"/>
      <c r="B22" s="2542"/>
      <c r="C22" s="2531"/>
      <c r="D22" s="2497"/>
      <c r="E22" s="2523"/>
      <c r="F22" s="2513"/>
      <c r="G22" s="2513"/>
      <c r="H22" s="559" t="s">
        <v>30</v>
      </c>
      <c r="I22" s="372">
        <f>J22+L22</f>
        <v>2.9</v>
      </c>
      <c r="J22" s="380">
        <v>2.9</v>
      </c>
      <c r="K22" s="380"/>
      <c r="L22" s="383"/>
      <c r="M22" s="348">
        <f>N22+P22</f>
        <v>125.5</v>
      </c>
      <c r="N22" s="349"/>
      <c r="O22" s="349"/>
      <c r="P22" s="350">
        <v>125.5</v>
      </c>
      <c r="Q22" s="384"/>
      <c r="R22" s="385"/>
      <c r="S22" s="385"/>
      <c r="T22" s="386"/>
      <c r="U22" s="384"/>
      <c r="V22" s="385"/>
      <c r="W22" s="385"/>
      <c r="X22" s="386"/>
      <c r="Z22" s="560"/>
    </row>
    <row r="23" spans="1:58" s="537" customFormat="1" ht="84.75" customHeight="1" thickBot="1" x14ac:dyDescent="0.25">
      <c r="A23" s="2704"/>
      <c r="B23" s="2545"/>
      <c r="C23" s="2531"/>
      <c r="D23" s="2497"/>
      <c r="E23" s="2523"/>
      <c r="F23" s="2582"/>
      <c r="G23" s="2582"/>
      <c r="H23" s="561" t="s">
        <v>99</v>
      </c>
      <c r="I23" s="415">
        <f>J23+L23</f>
        <v>11.599999999999998</v>
      </c>
      <c r="J23" s="416">
        <f>45-42.2</f>
        <v>2.7999999999999972</v>
      </c>
      <c r="K23" s="416"/>
      <c r="L23" s="417">
        <f>15-6.2</f>
        <v>8.8000000000000007</v>
      </c>
      <c r="M23" s="415"/>
      <c r="N23" s="416"/>
      <c r="O23" s="416"/>
      <c r="P23" s="417"/>
      <c r="Q23" s="562"/>
      <c r="R23" s="420"/>
      <c r="S23" s="420"/>
      <c r="T23" s="563"/>
      <c r="U23" s="562"/>
      <c r="V23" s="420"/>
      <c r="W23" s="420"/>
      <c r="X23" s="563"/>
    </row>
    <row r="24" spans="1:58" s="537" customFormat="1" ht="25.5" customHeight="1" thickBot="1" x14ac:dyDescent="0.25">
      <c r="A24" s="2704"/>
      <c r="B24" s="2545"/>
      <c r="C24" s="2530"/>
      <c r="D24" s="2705"/>
      <c r="E24" s="2603"/>
      <c r="F24" s="2742" t="s">
        <v>35</v>
      </c>
      <c r="G24" s="2611"/>
      <c r="H24" s="2743"/>
      <c r="I24" s="427">
        <f>SUM(I20:I23)</f>
        <v>253.2</v>
      </c>
      <c r="J24" s="422">
        <f>SUM(J20:J23)</f>
        <v>244.39999999999998</v>
      </c>
      <c r="K24" s="422">
        <f>SUM(K20:K23)</f>
        <v>0</v>
      </c>
      <c r="L24" s="361">
        <f t="shared" ref="L24" si="2">SUM(L20:L23)</f>
        <v>8.8000000000000007</v>
      </c>
      <c r="M24" s="427">
        <f t="shared" ref="M24:M27" si="3">N24+P24</f>
        <v>363.4</v>
      </c>
      <c r="N24" s="422">
        <f>SUM(N20:N23)</f>
        <v>237.9</v>
      </c>
      <c r="O24" s="422">
        <f>O20+O23</f>
        <v>0</v>
      </c>
      <c r="P24" s="361">
        <f t="shared" ref="P24" si="4">SUM(P20:P23)</f>
        <v>125.5</v>
      </c>
      <c r="Q24" s="427">
        <f>R24+T24</f>
        <v>240.9</v>
      </c>
      <c r="R24" s="422">
        <f>R20+R23</f>
        <v>240.9</v>
      </c>
      <c r="S24" s="422">
        <f>S20+S23</f>
        <v>0</v>
      </c>
      <c r="T24" s="428">
        <f>T20+T23</f>
        <v>0</v>
      </c>
      <c r="U24" s="427">
        <f>V24+X24</f>
        <v>240.9</v>
      </c>
      <c r="V24" s="422">
        <f>V20+V23</f>
        <v>240.9</v>
      </c>
      <c r="W24" s="422">
        <f>W20+W23</f>
        <v>0</v>
      </c>
      <c r="X24" s="428">
        <f>X20+X23</f>
        <v>0</v>
      </c>
    </row>
    <row r="25" spans="1:58" s="569" customFormat="1" ht="26.25" customHeight="1" x14ac:dyDescent="0.2">
      <c r="A25" s="2704">
        <v>2</v>
      </c>
      <c r="B25" s="2545">
        <v>1</v>
      </c>
      <c r="C25" s="2530">
        <v>2</v>
      </c>
      <c r="D25" s="2705" t="s">
        <v>240</v>
      </c>
      <c r="E25" s="2603">
        <v>18</v>
      </c>
      <c r="F25" s="2501" t="s">
        <v>238</v>
      </c>
      <c r="G25" s="2501" t="s">
        <v>241</v>
      </c>
      <c r="H25" s="2397" t="s">
        <v>30</v>
      </c>
      <c r="I25" s="564">
        <f>J25+L25</f>
        <v>60.6</v>
      </c>
      <c r="J25" s="565"/>
      <c r="K25" s="565"/>
      <c r="L25" s="566">
        <v>60.6</v>
      </c>
      <c r="M25" s="564">
        <f>N25+P25</f>
        <v>175</v>
      </c>
      <c r="N25" s="565"/>
      <c r="O25" s="565"/>
      <c r="P25" s="566">
        <v>175</v>
      </c>
      <c r="Q25" s="567"/>
      <c r="R25" s="565"/>
      <c r="S25" s="565"/>
      <c r="T25" s="568"/>
      <c r="U25" s="567"/>
      <c r="V25" s="565"/>
      <c r="W25" s="565"/>
      <c r="X25" s="568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2"/>
      <c r="AM25" s="542"/>
      <c r="AN25" s="542"/>
      <c r="AO25" s="542"/>
      <c r="AP25" s="542"/>
      <c r="AQ25" s="542"/>
      <c r="AR25" s="542"/>
      <c r="AS25" s="542"/>
      <c r="AT25" s="542"/>
      <c r="AU25" s="542"/>
      <c r="AV25" s="542"/>
      <c r="AW25" s="542"/>
      <c r="AX25" s="542"/>
      <c r="AY25" s="542"/>
      <c r="AZ25" s="542"/>
      <c r="BA25" s="542"/>
      <c r="BB25" s="542"/>
      <c r="BC25" s="542"/>
      <c r="BD25" s="542"/>
      <c r="BE25" s="542"/>
      <c r="BF25" s="542"/>
    </row>
    <row r="26" spans="1:58" s="569" customFormat="1" ht="30.75" customHeight="1" x14ac:dyDescent="0.2">
      <c r="A26" s="2704"/>
      <c r="B26" s="2545"/>
      <c r="C26" s="2510"/>
      <c r="D26" s="2495"/>
      <c r="E26" s="2511"/>
      <c r="F26" s="2513"/>
      <c r="G26" s="2513"/>
      <c r="H26" s="2406" t="s">
        <v>111</v>
      </c>
      <c r="I26" s="570">
        <f t="shared" ref="I26:I28" si="5">J26+L26</f>
        <v>13.4</v>
      </c>
      <c r="J26" s="571"/>
      <c r="K26" s="571"/>
      <c r="L26" s="572">
        <v>13.4</v>
      </c>
      <c r="M26" s="573">
        <f t="shared" si="3"/>
        <v>210.4</v>
      </c>
      <c r="N26" s="571"/>
      <c r="O26" s="571"/>
      <c r="P26" s="572">
        <v>210.4</v>
      </c>
      <c r="Q26" s="574"/>
      <c r="R26" s="571"/>
      <c r="S26" s="571"/>
      <c r="T26" s="575"/>
      <c r="U26" s="574"/>
      <c r="V26" s="571"/>
      <c r="W26" s="571"/>
      <c r="X26" s="575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</row>
    <row r="27" spans="1:58" s="569" customFormat="1" ht="30.75" customHeight="1" x14ac:dyDescent="0.2">
      <c r="A27" s="2704"/>
      <c r="B27" s="2545"/>
      <c r="C27" s="2510"/>
      <c r="D27" s="2495"/>
      <c r="E27" s="2511"/>
      <c r="F27" s="2513"/>
      <c r="G27" s="2513"/>
      <c r="H27" s="2398" t="s">
        <v>112</v>
      </c>
      <c r="I27" s="570">
        <f t="shared" si="5"/>
        <v>2.4</v>
      </c>
      <c r="J27" s="571"/>
      <c r="K27" s="571"/>
      <c r="L27" s="576">
        <v>2.4</v>
      </c>
      <c r="M27" s="573">
        <f t="shared" si="3"/>
        <v>37.1</v>
      </c>
      <c r="N27" s="571"/>
      <c r="O27" s="571"/>
      <c r="P27" s="572">
        <v>37.1</v>
      </c>
      <c r="Q27" s="574"/>
      <c r="R27" s="571"/>
      <c r="S27" s="571"/>
      <c r="T27" s="575"/>
      <c r="U27" s="574"/>
      <c r="V27" s="571"/>
      <c r="W27" s="571"/>
      <c r="X27" s="575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42"/>
      <c r="AX27" s="542"/>
      <c r="AY27" s="542"/>
      <c r="AZ27" s="542"/>
      <c r="BA27" s="542"/>
      <c r="BB27" s="542"/>
      <c r="BC27" s="542"/>
      <c r="BD27" s="542"/>
      <c r="BE27" s="542"/>
      <c r="BF27" s="542"/>
    </row>
    <row r="28" spans="1:58" s="569" customFormat="1" ht="24.75" customHeight="1" thickBot="1" x14ac:dyDescent="0.25">
      <c r="A28" s="2704"/>
      <c r="B28" s="2545"/>
      <c r="C28" s="2510"/>
      <c r="D28" s="2495"/>
      <c r="E28" s="2511"/>
      <c r="F28" s="2502"/>
      <c r="G28" s="2502"/>
      <c r="H28" s="2398" t="s">
        <v>202</v>
      </c>
      <c r="I28" s="570">
        <f t="shared" si="5"/>
        <v>0</v>
      </c>
      <c r="J28" s="577"/>
      <c r="K28" s="577"/>
      <c r="L28" s="578"/>
      <c r="M28" s="570">
        <f>P28</f>
        <v>33.299999999999997</v>
      </c>
      <c r="N28" s="577"/>
      <c r="O28" s="577"/>
      <c r="P28" s="578">
        <v>33.299999999999997</v>
      </c>
      <c r="Q28" s="579"/>
      <c r="R28" s="577"/>
      <c r="S28" s="577"/>
      <c r="T28" s="580"/>
      <c r="U28" s="579"/>
      <c r="V28" s="577"/>
      <c r="W28" s="577"/>
      <c r="X28" s="580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42"/>
      <c r="AP28" s="542"/>
      <c r="AQ28" s="542"/>
      <c r="AR28" s="542"/>
      <c r="AS28" s="542"/>
      <c r="AT28" s="542"/>
      <c r="AU28" s="542"/>
      <c r="AV28" s="542"/>
      <c r="AW28" s="542"/>
      <c r="AX28" s="542"/>
      <c r="AY28" s="542"/>
      <c r="AZ28" s="542"/>
      <c r="BA28" s="542"/>
      <c r="BB28" s="542"/>
      <c r="BC28" s="542"/>
      <c r="BD28" s="542"/>
      <c r="BE28" s="542"/>
      <c r="BF28" s="542"/>
    </row>
    <row r="29" spans="1:58" s="569" customFormat="1" ht="15.75" customHeight="1" thickBot="1" x14ac:dyDescent="0.25">
      <c r="A29" s="2734"/>
      <c r="B29" s="2735"/>
      <c r="C29" s="2736"/>
      <c r="D29" s="2738"/>
      <c r="E29" s="2737"/>
      <c r="F29" s="2516" t="s">
        <v>35</v>
      </c>
      <c r="G29" s="2517"/>
      <c r="H29" s="2518"/>
      <c r="I29" s="359">
        <f>SUM(J29+L29)</f>
        <v>76.400000000000006</v>
      </c>
      <c r="J29" s="360">
        <f t="shared" ref="J29:K29" si="6">SUM(J28)</f>
        <v>0</v>
      </c>
      <c r="K29" s="360">
        <f t="shared" si="6"/>
        <v>0</v>
      </c>
      <c r="L29" s="361">
        <f>SUM(L25:L28)</f>
        <v>76.400000000000006</v>
      </c>
      <c r="M29" s="359">
        <f>N29+P29</f>
        <v>455.8</v>
      </c>
      <c r="N29" s="360"/>
      <c r="O29" s="360"/>
      <c r="P29" s="361">
        <f>SUM(P25:P28)</f>
        <v>455.8</v>
      </c>
      <c r="Q29" s="359"/>
      <c r="R29" s="360"/>
      <c r="S29" s="360"/>
      <c r="T29" s="361"/>
      <c r="U29" s="359"/>
      <c r="V29" s="360"/>
      <c r="W29" s="360"/>
      <c r="X29" s="361"/>
      <c r="Y29" s="542"/>
      <c r="Z29" s="542"/>
      <c r="AA29" s="542"/>
      <c r="AB29" s="542"/>
      <c r="AC29" s="542"/>
      <c r="AD29" s="542"/>
      <c r="AE29" s="542"/>
      <c r="AF29" s="542"/>
      <c r="AG29" s="542"/>
      <c r="AH29" s="542"/>
      <c r="AI29" s="542"/>
      <c r="AJ29" s="542"/>
      <c r="AK29" s="542"/>
      <c r="AL29" s="542"/>
      <c r="AM29" s="542"/>
      <c r="AN29" s="542"/>
      <c r="AO29" s="542"/>
      <c r="AP29" s="542"/>
      <c r="AQ29" s="542"/>
      <c r="AR29" s="542"/>
      <c r="AS29" s="542"/>
      <c r="AT29" s="542"/>
      <c r="AU29" s="542"/>
      <c r="AV29" s="542"/>
      <c r="AW29" s="542"/>
      <c r="AX29" s="542"/>
      <c r="AY29" s="542"/>
      <c r="AZ29" s="542"/>
      <c r="BA29" s="542"/>
      <c r="BB29" s="542"/>
      <c r="BC29" s="542"/>
      <c r="BD29" s="542"/>
      <c r="BE29" s="542"/>
      <c r="BF29" s="542"/>
    </row>
    <row r="30" spans="1:58" s="569" customFormat="1" ht="23.25" customHeight="1" x14ac:dyDescent="0.2">
      <c r="A30" s="2704">
        <v>2</v>
      </c>
      <c r="B30" s="2545">
        <v>1</v>
      </c>
      <c r="C30" s="2510">
        <v>3</v>
      </c>
      <c r="D30" s="2504" t="s">
        <v>242</v>
      </c>
      <c r="E30" s="2511">
        <v>18</v>
      </c>
      <c r="F30" s="2501" t="s">
        <v>238</v>
      </c>
      <c r="G30" s="2513" t="s">
        <v>243</v>
      </c>
      <c r="H30" s="2406" t="s">
        <v>244</v>
      </c>
      <c r="I30" s="573">
        <f>J30+L30</f>
        <v>258.3</v>
      </c>
      <c r="J30" s="571"/>
      <c r="K30" s="571"/>
      <c r="L30" s="572">
        <v>258.3</v>
      </c>
      <c r="M30" s="573">
        <f>P30</f>
        <v>70</v>
      </c>
      <c r="N30" s="571"/>
      <c r="O30" s="571"/>
      <c r="P30" s="581">
        <v>70</v>
      </c>
      <c r="Q30" s="574"/>
      <c r="R30" s="571"/>
      <c r="S30" s="571"/>
      <c r="T30" s="575"/>
      <c r="U30" s="574"/>
      <c r="V30" s="571"/>
      <c r="W30" s="571"/>
      <c r="X30" s="575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2"/>
      <c r="BD30" s="542"/>
      <c r="BE30" s="542"/>
      <c r="BF30" s="542"/>
    </row>
    <row r="31" spans="1:58" s="569" customFormat="1" ht="23.25" customHeight="1" thickBot="1" x14ac:dyDescent="0.25">
      <c r="A31" s="2704"/>
      <c r="B31" s="2545"/>
      <c r="C31" s="2510"/>
      <c r="D31" s="2504"/>
      <c r="E31" s="2511"/>
      <c r="F31" s="2513"/>
      <c r="G31" s="2513"/>
      <c r="H31" s="2398" t="s">
        <v>30</v>
      </c>
      <c r="I31" s="582">
        <f>J31+L31</f>
        <v>34.6</v>
      </c>
      <c r="J31" s="583"/>
      <c r="K31" s="584"/>
      <c r="L31" s="585">
        <v>34.6</v>
      </c>
      <c r="M31" s="582">
        <f>N31+P31</f>
        <v>0</v>
      </c>
      <c r="N31" s="583"/>
      <c r="O31" s="583"/>
      <c r="P31" s="585"/>
      <c r="Q31" s="574"/>
      <c r="R31" s="571"/>
      <c r="S31" s="571"/>
      <c r="T31" s="575"/>
      <c r="U31" s="574"/>
      <c r="V31" s="571"/>
      <c r="W31" s="571"/>
      <c r="X31" s="575"/>
      <c r="Y31" s="542"/>
      <c r="Z31" s="542"/>
      <c r="AA31" s="542"/>
      <c r="AB31" s="542"/>
      <c r="AC31" s="542"/>
      <c r="AD31" s="542"/>
      <c r="AE31" s="542"/>
      <c r="AF31" s="542"/>
      <c r="AG31" s="542"/>
      <c r="AH31" s="542"/>
      <c r="AI31" s="542"/>
      <c r="AJ31" s="542"/>
      <c r="AK31" s="542"/>
      <c r="AL31" s="542"/>
      <c r="AM31" s="542"/>
      <c r="AN31" s="542"/>
      <c r="AO31" s="542"/>
      <c r="AP31" s="542"/>
      <c r="AQ31" s="542"/>
      <c r="AR31" s="542"/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2"/>
      <c r="BE31" s="542"/>
      <c r="BF31" s="542"/>
    </row>
    <row r="32" spans="1:58" s="569" customFormat="1" ht="23.25" customHeight="1" thickBot="1" x14ac:dyDescent="0.25">
      <c r="A32" s="2734"/>
      <c r="B32" s="2735"/>
      <c r="C32" s="2736"/>
      <c r="D32" s="2505"/>
      <c r="E32" s="2737"/>
      <c r="F32" s="2516" t="s">
        <v>35</v>
      </c>
      <c r="G32" s="2517"/>
      <c r="H32" s="2518"/>
      <c r="I32" s="359">
        <f>SUM(J32+L32)</f>
        <v>292.90000000000003</v>
      </c>
      <c r="J32" s="360">
        <f>J30+J31</f>
        <v>0</v>
      </c>
      <c r="K32" s="360">
        <f>K30+K31</f>
        <v>0</v>
      </c>
      <c r="L32" s="361">
        <f>L30+L31</f>
        <v>292.90000000000003</v>
      </c>
      <c r="M32" s="359">
        <f>N32+P32</f>
        <v>70</v>
      </c>
      <c r="N32" s="360">
        <f>N30+N31</f>
        <v>0</v>
      </c>
      <c r="O32" s="360">
        <f>O30+O31</f>
        <v>0</v>
      </c>
      <c r="P32" s="361">
        <f>P30+P31</f>
        <v>70</v>
      </c>
      <c r="Q32" s="359"/>
      <c r="R32" s="360">
        <f>R30+R31</f>
        <v>0</v>
      </c>
      <c r="S32" s="360">
        <f>S30+S31</f>
        <v>0</v>
      </c>
      <c r="T32" s="361">
        <f>T30+T31</f>
        <v>0</v>
      </c>
      <c r="U32" s="359"/>
      <c r="V32" s="360">
        <f>V30+V31</f>
        <v>0</v>
      </c>
      <c r="W32" s="360">
        <f>W30+W31</f>
        <v>0</v>
      </c>
      <c r="X32" s="361">
        <f>X30+X31</f>
        <v>0</v>
      </c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542"/>
      <c r="AS32" s="542"/>
      <c r="AT32" s="542"/>
      <c r="AU32" s="542"/>
      <c r="AV32" s="542"/>
      <c r="AW32" s="542"/>
      <c r="AX32" s="542"/>
      <c r="AY32" s="542"/>
      <c r="AZ32" s="542"/>
      <c r="BA32" s="542"/>
      <c r="BB32" s="542"/>
      <c r="BC32" s="542"/>
      <c r="BD32" s="542"/>
      <c r="BE32" s="542"/>
      <c r="BF32" s="542"/>
    </row>
    <row r="33" spans="1:58" s="537" customFormat="1" ht="15.75" customHeight="1" thickBot="1" x14ac:dyDescent="0.25">
      <c r="A33" s="557">
        <v>2</v>
      </c>
      <c r="B33" s="450">
        <v>1</v>
      </c>
      <c r="C33" s="2733" t="s">
        <v>234</v>
      </c>
      <c r="D33" s="2476"/>
      <c r="E33" s="2476"/>
      <c r="F33" s="2476"/>
      <c r="G33" s="2476"/>
      <c r="H33" s="2477"/>
      <c r="I33" s="586">
        <f t="shared" ref="I33" si="7">J33+L33</f>
        <v>622.5</v>
      </c>
      <c r="J33" s="405">
        <f>J32+J29+J24</f>
        <v>244.39999999999998</v>
      </c>
      <c r="K33" s="405">
        <f>K32+K29+K24</f>
        <v>0</v>
      </c>
      <c r="L33" s="405">
        <f>L32+L29+L24</f>
        <v>378.10000000000008</v>
      </c>
      <c r="M33" s="586">
        <f t="shared" ref="M33" si="8">N33+P33</f>
        <v>889.19999999999993</v>
      </c>
      <c r="N33" s="405">
        <f>N32+N29+N24</f>
        <v>237.9</v>
      </c>
      <c r="O33" s="405">
        <f>O32+O29+O24</f>
        <v>0</v>
      </c>
      <c r="P33" s="405">
        <f>P32+P29+P24</f>
        <v>651.29999999999995</v>
      </c>
      <c r="Q33" s="586">
        <f t="shared" ref="Q33" si="9">R33+T33</f>
        <v>240.9</v>
      </c>
      <c r="R33" s="405">
        <f>R32+R29+R24</f>
        <v>240.9</v>
      </c>
      <c r="S33" s="405">
        <f>S32+S29+S24</f>
        <v>0</v>
      </c>
      <c r="T33" s="405">
        <f>T32+T29+T24</f>
        <v>0</v>
      </c>
      <c r="U33" s="586">
        <f t="shared" ref="U33" si="10">V33+X33</f>
        <v>240.9</v>
      </c>
      <c r="V33" s="405">
        <f>V32+V29+V24</f>
        <v>240.9</v>
      </c>
      <c r="W33" s="405">
        <f>W32+W29+W24</f>
        <v>0</v>
      </c>
      <c r="X33" s="448">
        <f>X32+X29+X24</f>
        <v>0</v>
      </c>
      <c r="Y33" s="2331"/>
    </row>
    <row r="34" spans="1:58" s="537" customFormat="1" ht="15.95" customHeight="1" thickBot="1" x14ac:dyDescent="0.25">
      <c r="A34" s="546">
        <v>2</v>
      </c>
      <c r="B34" s="547">
        <v>2</v>
      </c>
      <c r="C34" s="2552" t="s">
        <v>245</v>
      </c>
      <c r="D34" s="2553"/>
      <c r="E34" s="2553"/>
      <c r="F34" s="2553"/>
      <c r="G34" s="2553"/>
      <c r="H34" s="2553"/>
      <c r="I34" s="2553"/>
      <c r="J34" s="2553"/>
      <c r="K34" s="2553"/>
      <c r="L34" s="2553"/>
      <c r="M34" s="2553"/>
      <c r="N34" s="2553"/>
      <c r="O34" s="2553"/>
      <c r="P34" s="2553"/>
      <c r="Q34" s="2553"/>
      <c r="R34" s="2553"/>
      <c r="S34" s="2553"/>
      <c r="T34" s="2553"/>
      <c r="U34" s="2553"/>
      <c r="V34" s="2553"/>
      <c r="W34" s="2553"/>
      <c r="X34" s="2554"/>
    </row>
    <row r="35" spans="1:58" s="537" customFormat="1" ht="63" customHeight="1" thickBot="1" x14ac:dyDescent="0.25">
      <c r="A35" s="2487">
        <v>2</v>
      </c>
      <c r="B35" s="2541">
        <v>2</v>
      </c>
      <c r="C35" s="2513">
        <v>1</v>
      </c>
      <c r="D35" s="2504" t="s">
        <v>246</v>
      </c>
      <c r="E35" s="2512">
        <v>18</v>
      </c>
      <c r="F35" s="2390" t="s">
        <v>238</v>
      </c>
      <c r="G35" s="2390" t="s">
        <v>247</v>
      </c>
      <c r="H35" s="559" t="s">
        <v>33</v>
      </c>
      <c r="I35" s="408">
        <v>212</v>
      </c>
      <c r="J35" s="349">
        <v>212</v>
      </c>
      <c r="K35" s="349"/>
      <c r="L35" s="350"/>
      <c r="M35" s="434">
        <v>212</v>
      </c>
      <c r="N35" s="377">
        <v>212</v>
      </c>
      <c r="O35" s="377"/>
      <c r="P35" s="390"/>
      <c r="Q35" s="434">
        <v>212</v>
      </c>
      <c r="R35" s="377">
        <v>212</v>
      </c>
      <c r="S35" s="349"/>
      <c r="T35" s="350"/>
      <c r="U35" s="434">
        <v>212</v>
      </c>
      <c r="V35" s="377">
        <v>212</v>
      </c>
      <c r="W35" s="349"/>
      <c r="X35" s="350"/>
    </row>
    <row r="36" spans="1:58" s="537" customFormat="1" ht="56.25" customHeight="1" thickBot="1" x14ac:dyDescent="0.25">
      <c r="A36" s="2487"/>
      <c r="B36" s="2541"/>
      <c r="C36" s="2513"/>
      <c r="D36" s="2504"/>
      <c r="E36" s="2512"/>
      <c r="F36" s="2583" t="s">
        <v>35</v>
      </c>
      <c r="G36" s="2584"/>
      <c r="H36" s="2546"/>
      <c r="I36" s="374">
        <f t="shared" ref="I36:L36" si="11">SUM(I35)</f>
        <v>212</v>
      </c>
      <c r="J36" s="360">
        <f t="shared" si="11"/>
        <v>212</v>
      </c>
      <c r="K36" s="360">
        <f t="shared" si="11"/>
        <v>0</v>
      </c>
      <c r="L36" s="361">
        <f t="shared" si="11"/>
        <v>0</v>
      </c>
      <c r="M36" s="387">
        <f>M35</f>
        <v>212</v>
      </c>
      <c r="N36" s="387">
        <f>N35</f>
        <v>212</v>
      </c>
      <c r="O36" s="387"/>
      <c r="P36" s="388"/>
      <c r="Q36" s="387">
        <f>Q35</f>
        <v>212</v>
      </c>
      <c r="R36" s="387">
        <f>R35</f>
        <v>212</v>
      </c>
      <c r="S36" s="360"/>
      <c r="T36" s="361"/>
      <c r="U36" s="387">
        <f>U35</f>
        <v>212</v>
      </c>
      <c r="V36" s="387">
        <f>V35</f>
        <v>212</v>
      </c>
      <c r="W36" s="360"/>
      <c r="X36" s="361"/>
    </row>
    <row r="37" spans="1:58" s="537" customFormat="1" ht="18.75" customHeight="1" thickBot="1" x14ac:dyDescent="0.25">
      <c r="A37" s="2486">
        <v>2</v>
      </c>
      <c r="B37" s="2540">
        <v>2</v>
      </c>
      <c r="C37" s="2510">
        <v>2</v>
      </c>
      <c r="D37" s="2503" t="s">
        <v>248</v>
      </c>
      <c r="E37" s="2511">
        <v>18</v>
      </c>
      <c r="F37" s="2401" t="s">
        <v>238</v>
      </c>
      <c r="G37" s="2401" t="s">
        <v>249</v>
      </c>
      <c r="H37" s="436" t="s">
        <v>33</v>
      </c>
      <c r="I37" s="2385">
        <f>SUM(J37,L37)</f>
        <v>3.7</v>
      </c>
      <c r="J37" s="2383">
        <f>3.5+0.2</f>
        <v>3.7</v>
      </c>
      <c r="K37" s="2383"/>
      <c r="L37" s="2384"/>
      <c r="M37" s="2385">
        <v>3.5</v>
      </c>
      <c r="N37" s="2383">
        <v>3.5</v>
      </c>
      <c r="O37" s="2383"/>
      <c r="P37" s="2384"/>
      <c r="Q37" s="2385">
        <v>3.5</v>
      </c>
      <c r="R37" s="2383">
        <v>3.5</v>
      </c>
      <c r="S37" s="2383"/>
      <c r="T37" s="2384"/>
      <c r="U37" s="2385">
        <v>3.5</v>
      </c>
      <c r="V37" s="2383">
        <v>3.5</v>
      </c>
      <c r="W37" s="2383"/>
      <c r="X37" s="2384"/>
    </row>
    <row r="38" spans="1:58" s="537" customFormat="1" ht="16.5" customHeight="1" thickBot="1" x14ac:dyDescent="0.25">
      <c r="A38" s="2487"/>
      <c r="B38" s="2541"/>
      <c r="C38" s="2513"/>
      <c r="D38" s="2504"/>
      <c r="E38" s="2512"/>
      <c r="F38" s="2583" t="s">
        <v>35</v>
      </c>
      <c r="G38" s="2584"/>
      <c r="H38" s="2546"/>
      <c r="I38" s="374">
        <f t="shared" ref="I38:L38" si="12">SUM(I37)</f>
        <v>3.7</v>
      </c>
      <c r="J38" s="360">
        <f t="shared" si="12"/>
        <v>3.7</v>
      </c>
      <c r="K38" s="360">
        <f t="shared" si="12"/>
        <v>0</v>
      </c>
      <c r="L38" s="361">
        <f t="shared" si="12"/>
        <v>0</v>
      </c>
      <c r="M38" s="360">
        <f>M37</f>
        <v>3.5</v>
      </c>
      <c r="N38" s="360">
        <f>N37</f>
        <v>3.5</v>
      </c>
      <c r="O38" s="360"/>
      <c r="P38" s="361"/>
      <c r="Q38" s="360">
        <f>Q37</f>
        <v>3.5</v>
      </c>
      <c r="R38" s="360">
        <f>R37</f>
        <v>3.5</v>
      </c>
      <c r="S38" s="360"/>
      <c r="T38" s="361"/>
      <c r="U38" s="360">
        <f>U37</f>
        <v>3.5</v>
      </c>
      <c r="V38" s="360">
        <f>V37</f>
        <v>3.5</v>
      </c>
      <c r="W38" s="360"/>
      <c r="X38" s="361"/>
    </row>
    <row r="39" spans="1:58" s="542" customFormat="1" ht="20.25" customHeight="1" thickBot="1" x14ac:dyDescent="0.25">
      <c r="A39" s="2704">
        <v>2</v>
      </c>
      <c r="B39" s="2545">
        <v>2</v>
      </c>
      <c r="C39" s="2510">
        <v>3</v>
      </c>
      <c r="D39" s="2465" t="s">
        <v>250</v>
      </c>
      <c r="E39" s="2603">
        <v>18</v>
      </c>
      <c r="F39" s="2401" t="s">
        <v>238</v>
      </c>
      <c r="G39" s="2401" t="s">
        <v>251</v>
      </c>
      <c r="H39" s="436" t="s">
        <v>33</v>
      </c>
      <c r="I39" s="2382">
        <f>J39+L39</f>
        <v>1.6</v>
      </c>
      <c r="J39" s="2383">
        <v>1.6</v>
      </c>
      <c r="K39" s="2383"/>
      <c r="L39" s="2384"/>
      <c r="M39" s="2382">
        <f>N39+P39</f>
        <v>1.6</v>
      </c>
      <c r="N39" s="2383">
        <v>1.6</v>
      </c>
      <c r="O39" s="2383"/>
      <c r="P39" s="2384"/>
      <c r="Q39" s="2382">
        <f>R39+T39</f>
        <v>1.6</v>
      </c>
      <c r="R39" s="2383">
        <v>1.6</v>
      </c>
      <c r="S39" s="2383"/>
      <c r="T39" s="2384"/>
      <c r="U39" s="2382">
        <f>V39+X39</f>
        <v>1.6</v>
      </c>
      <c r="V39" s="2383">
        <v>1.6</v>
      </c>
      <c r="W39" s="2383"/>
      <c r="X39" s="2384"/>
    </row>
    <row r="40" spans="1:58" s="542" customFormat="1" ht="24.75" customHeight="1" thickBot="1" x14ac:dyDescent="0.25">
      <c r="A40" s="2486"/>
      <c r="B40" s="2540"/>
      <c r="C40" s="2513"/>
      <c r="D40" s="2503"/>
      <c r="E40" s="2511"/>
      <c r="F40" s="2583" t="s">
        <v>35</v>
      </c>
      <c r="G40" s="2584"/>
      <c r="H40" s="2546"/>
      <c r="I40" s="587">
        <f t="shared" ref="I40:L40" si="13">SUM(I39)</f>
        <v>1.6</v>
      </c>
      <c r="J40" s="409">
        <f t="shared" si="13"/>
        <v>1.6</v>
      </c>
      <c r="K40" s="409">
        <f t="shared" si="13"/>
        <v>0</v>
      </c>
      <c r="L40" s="409">
        <f t="shared" si="13"/>
        <v>0</v>
      </c>
      <c r="M40" s="409">
        <f>M39</f>
        <v>1.6</v>
      </c>
      <c r="N40" s="409">
        <f>N39</f>
        <v>1.6</v>
      </c>
      <c r="O40" s="409"/>
      <c r="P40" s="361"/>
      <c r="Q40" s="409">
        <f>Q39</f>
        <v>1.6</v>
      </c>
      <c r="R40" s="409">
        <f>R39</f>
        <v>1.6</v>
      </c>
      <c r="S40" s="409"/>
      <c r="T40" s="361"/>
      <c r="U40" s="409">
        <f>U39</f>
        <v>1.6</v>
      </c>
      <c r="V40" s="409">
        <f>V39</f>
        <v>1.6</v>
      </c>
      <c r="W40" s="409"/>
      <c r="X40" s="361"/>
    </row>
    <row r="41" spans="1:58" s="537" customFormat="1" ht="12.75" customHeight="1" thickBot="1" x14ac:dyDescent="0.25">
      <c r="A41" s="588">
        <v>2</v>
      </c>
      <c r="B41" s="589">
        <v>2</v>
      </c>
      <c r="C41" s="2701" t="s">
        <v>234</v>
      </c>
      <c r="D41" s="2702"/>
      <c r="E41" s="2702"/>
      <c r="F41" s="2702"/>
      <c r="G41" s="2702"/>
      <c r="H41" s="2703"/>
      <c r="I41" s="406">
        <f t="shared" ref="I41" si="14">SUM(J41+L41)</f>
        <v>217.29999999999998</v>
      </c>
      <c r="J41" s="464">
        <f>SUM(J36,J38,J40)</f>
        <v>217.29999999999998</v>
      </c>
      <c r="K41" s="463">
        <f t="shared" ref="K41:L41" si="15">SUM(K36,K38)</f>
        <v>0</v>
      </c>
      <c r="L41" s="590">
        <f t="shared" si="15"/>
        <v>0</v>
      </c>
      <c r="M41" s="406">
        <f t="shared" ref="M41" si="16">SUM(N41+P41)</f>
        <v>217.1</v>
      </c>
      <c r="N41" s="464">
        <f>SUM(N36,N38,N40)</f>
        <v>217.1</v>
      </c>
      <c r="O41" s="463">
        <f t="shared" ref="O41:P41" si="17">SUM(O36,O38)</f>
        <v>0</v>
      </c>
      <c r="P41" s="590">
        <f t="shared" si="17"/>
        <v>0</v>
      </c>
      <c r="Q41" s="406">
        <f t="shared" ref="Q41" si="18">SUM(R41+T41)</f>
        <v>217.1</v>
      </c>
      <c r="R41" s="464">
        <f>SUM(R36,R38,R40)</f>
        <v>217.1</v>
      </c>
      <c r="S41" s="463">
        <f t="shared" ref="S41:T41" si="19">SUM(S36,S38)</f>
        <v>0</v>
      </c>
      <c r="T41" s="590">
        <f t="shared" si="19"/>
        <v>0</v>
      </c>
      <c r="U41" s="406">
        <f t="shared" ref="U41" si="20">SUM(V41+X41)</f>
        <v>217.1</v>
      </c>
      <c r="V41" s="464">
        <f>SUM(V36,V38,V40)</f>
        <v>217.1</v>
      </c>
      <c r="W41" s="463">
        <f t="shared" ref="W41:X41" si="21">SUM(W36,W38)</f>
        <v>0</v>
      </c>
      <c r="X41" s="590">
        <f t="shared" si="21"/>
        <v>0</v>
      </c>
    </row>
    <row r="42" spans="1:58" s="537" customFormat="1" ht="12.75" customHeight="1" thickBot="1" x14ac:dyDescent="0.25">
      <c r="A42" s="591">
        <v>2</v>
      </c>
      <c r="B42" s="2478" t="s">
        <v>167</v>
      </c>
      <c r="C42" s="2479"/>
      <c r="D42" s="2479"/>
      <c r="E42" s="2479"/>
      <c r="F42" s="2479"/>
      <c r="G42" s="2479"/>
      <c r="H42" s="2480"/>
      <c r="I42" s="509">
        <f t="shared" ref="I42:X42" si="22">SUM(I33,I41)</f>
        <v>839.8</v>
      </c>
      <c r="J42" s="510">
        <f t="shared" si="22"/>
        <v>461.69999999999993</v>
      </c>
      <c r="K42" s="510">
        <f t="shared" si="22"/>
        <v>0</v>
      </c>
      <c r="L42" s="468">
        <f t="shared" si="22"/>
        <v>378.10000000000008</v>
      </c>
      <c r="M42" s="509">
        <f t="shared" si="22"/>
        <v>1106.3</v>
      </c>
      <c r="N42" s="510">
        <f t="shared" si="22"/>
        <v>455</v>
      </c>
      <c r="O42" s="510">
        <f t="shared" si="22"/>
        <v>0</v>
      </c>
      <c r="P42" s="468">
        <f t="shared" si="22"/>
        <v>651.29999999999995</v>
      </c>
      <c r="Q42" s="509">
        <f t="shared" si="22"/>
        <v>458</v>
      </c>
      <c r="R42" s="510">
        <f t="shared" si="22"/>
        <v>458</v>
      </c>
      <c r="S42" s="510">
        <f t="shared" si="22"/>
        <v>0</v>
      </c>
      <c r="T42" s="468">
        <f t="shared" si="22"/>
        <v>0</v>
      </c>
      <c r="U42" s="509">
        <f t="shared" si="22"/>
        <v>458</v>
      </c>
      <c r="V42" s="510">
        <f t="shared" si="22"/>
        <v>458</v>
      </c>
      <c r="W42" s="510">
        <f t="shared" si="22"/>
        <v>0</v>
      </c>
      <c r="X42" s="468">
        <f t="shared" si="22"/>
        <v>0</v>
      </c>
    </row>
    <row r="43" spans="1:58" s="537" customFormat="1" ht="12" customHeight="1" thickBot="1" x14ac:dyDescent="0.25">
      <c r="A43" s="554">
        <v>3</v>
      </c>
      <c r="B43" s="2717" t="s">
        <v>252</v>
      </c>
      <c r="C43" s="2550"/>
      <c r="D43" s="2550"/>
      <c r="E43" s="2550"/>
      <c r="F43" s="2550"/>
      <c r="G43" s="2550"/>
      <c r="H43" s="2550"/>
      <c r="I43" s="2550"/>
      <c r="J43" s="2550"/>
      <c r="K43" s="2550"/>
      <c r="L43" s="2550"/>
      <c r="M43" s="2550"/>
      <c r="N43" s="2550"/>
      <c r="O43" s="2550"/>
      <c r="P43" s="2550"/>
      <c r="Q43" s="2550"/>
      <c r="R43" s="2550"/>
      <c r="S43" s="2550"/>
      <c r="T43" s="2550"/>
      <c r="U43" s="2550"/>
      <c r="V43" s="2550"/>
      <c r="W43" s="2550"/>
      <c r="X43" s="2551"/>
    </row>
    <row r="44" spans="1:58" s="537" customFormat="1" ht="13.5" customHeight="1" thickBot="1" x14ac:dyDescent="0.25">
      <c r="A44" s="546">
        <v>3</v>
      </c>
      <c r="B44" s="558">
        <v>1</v>
      </c>
      <c r="C44" s="2730" t="s">
        <v>253</v>
      </c>
      <c r="D44" s="2731"/>
      <c r="E44" s="2731"/>
      <c r="F44" s="2731"/>
      <c r="G44" s="2731"/>
      <c r="H44" s="2731"/>
      <c r="I44" s="2731"/>
      <c r="J44" s="2731"/>
      <c r="K44" s="2731"/>
      <c r="L44" s="2731"/>
      <c r="M44" s="2731"/>
      <c r="N44" s="2731"/>
      <c r="O44" s="2731"/>
      <c r="P44" s="2731"/>
      <c r="Q44" s="2731"/>
      <c r="R44" s="2731"/>
      <c r="S44" s="2731"/>
      <c r="T44" s="2731"/>
      <c r="U44" s="2731"/>
      <c r="V44" s="2731"/>
      <c r="W44" s="2731"/>
      <c r="X44" s="2732"/>
    </row>
    <row r="45" spans="1:58" s="593" customFormat="1" ht="34.15" customHeight="1" x14ac:dyDescent="0.2">
      <c r="A45" s="2487">
        <v>3</v>
      </c>
      <c r="B45" s="2541">
        <v>1</v>
      </c>
      <c r="C45" s="2513">
        <v>1</v>
      </c>
      <c r="D45" s="2496" t="s">
        <v>254</v>
      </c>
      <c r="E45" s="2499" t="s">
        <v>255</v>
      </c>
      <c r="F45" s="2531" t="s">
        <v>256</v>
      </c>
      <c r="G45" s="2531" t="s">
        <v>257</v>
      </c>
      <c r="H45" s="592" t="s">
        <v>30</v>
      </c>
      <c r="I45" s="348">
        <f>J45+L45</f>
        <v>105.9</v>
      </c>
      <c r="J45" s="349">
        <v>105.9</v>
      </c>
      <c r="K45" s="349">
        <v>75.099999999999994</v>
      </c>
      <c r="L45" s="390"/>
      <c r="M45" s="389">
        <f>N45+P45</f>
        <v>153.30000000000001</v>
      </c>
      <c r="N45" s="377">
        <v>117.3</v>
      </c>
      <c r="O45" s="377">
        <v>83.6</v>
      </c>
      <c r="P45" s="390">
        <v>36</v>
      </c>
      <c r="Q45" s="389">
        <f>R45+T45</f>
        <v>120</v>
      </c>
      <c r="R45" s="377">
        <v>120</v>
      </c>
      <c r="S45" s="377">
        <v>86.6</v>
      </c>
      <c r="T45" s="390"/>
      <c r="U45" s="389">
        <f>V45+X45</f>
        <v>120</v>
      </c>
      <c r="V45" s="377">
        <v>120</v>
      </c>
      <c r="W45" s="377">
        <v>86.6</v>
      </c>
      <c r="X45" s="390"/>
      <c r="Y45" s="542"/>
      <c r="Z45" s="542"/>
      <c r="AA45" s="542"/>
      <c r="AB45" s="542"/>
      <c r="AC45" s="542"/>
      <c r="AD45" s="542"/>
      <c r="AE45" s="542"/>
      <c r="AF45" s="542"/>
      <c r="AG45" s="542"/>
      <c r="AH45" s="542"/>
      <c r="AI45" s="542"/>
      <c r="AJ45" s="542"/>
      <c r="AK45" s="542"/>
      <c r="AL45" s="542"/>
      <c r="AM45" s="542"/>
      <c r="AN45" s="542"/>
      <c r="AO45" s="542"/>
      <c r="AP45" s="542"/>
      <c r="AQ45" s="542"/>
      <c r="AR45" s="542"/>
      <c r="AS45" s="542"/>
      <c r="AT45" s="542"/>
      <c r="AU45" s="542"/>
      <c r="AV45" s="542"/>
      <c r="AW45" s="542"/>
      <c r="AX45" s="542"/>
      <c r="AY45" s="542"/>
      <c r="AZ45" s="542"/>
      <c r="BA45" s="542"/>
      <c r="BB45" s="542"/>
      <c r="BC45" s="542"/>
      <c r="BD45" s="542"/>
      <c r="BE45" s="542"/>
      <c r="BF45" s="542"/>
    </row>
    <row r="46" spans="1:58" s="593" customFormat="1" ht="34.15" customHeight="1" x14ac:dyDescent="0.2">
      <c r="A46" s="2487"/>
      <c r="B46" s="2541"/>
      <c r="C46" s="2513"/>
      <c r="D46" s="2496"/>
      <c r="E46" s="2499"/>
      <c r="F46" s="2531"/>
      <c r="G46" s="2531"/>
      <c r="H46" s="592" t="s">
        <v>33</v>
      </c>
      <c r="I46" s="348"/>
      <c r="J46" s="349"/>
      <c r="K46" s="349"/>
      <c r="L46" s="390"/>
      <c r="M46" s="389">
        <f>N46+P46</f>
        <v>3</v>
      </c>
      <c r="N46" s="377">
        <v>3</v>
      </c>
      <c r="O46" s="377">
        <v>3</v>
      </c>
      <c r="P46" s="390"/>
      <c r="Q46" s="389"/>
      <c r="R46" s="377"/>
      <c r="S46" s="377"/>
      <c r="T46" s="390"/>
      <c r="U46" s="389"/>
      <c r="V46" s="377"/>
      <c r="W46" s="377"/>
      <c r="X46" s="390"/>
      <c r="Y46" s="542"/>
      <c r="Z46" s="542"/>
      <c r="AA46" s="542"/>
      <c r="AB46" s="542"/>
      <c r="AC46" s="542"/>
      <c r="AD46" s="542"/>
      <c r="AE46" s="542"/>
      <c r="AF46" s="542"/>
      <c r="AG46" s="542"/>
      <c r="AH46" s="542"/>
      <c r="AI46" s="542"/>
      <c r="AJ46" s="542"/>
      <c r="AK46" s="542"/>
      <c r="AL46" s="542"/>
      <c r="AM46" s="542"/>
      <c r="AN46" s="542"/>
      <c r="AO46" s="542"/>
      <c r="AP46" s="542"/>
      <c r="AQ46" s="542"/>
      <c r="AR46" s="542"/>
      <c r="AS46" s="542"/>
      <c r="AT46" s="542"/>
      <c r="AU46" s="542"/>
      <c r="AV46" s="542"/>
      <c r="AW46" s="542"/>
      <c r="AX46" s="542"/>
      <c r="AY46" s="542"/>
      <c r="AZ46" s="542"/>
      <c r="BA46" s="542"/>
      <c r="BB46" s="542"/>
      <c r="BC46" s="542"/>
      <c r="BD46" s="542"/>
      <c r="BE46" s="542"/>
      <c r="BF46" s="542"/>
    </row>
    <row r="47" spans="1:58" s="537" customFormat="1" ht="34.15" customHeight="1" thickBot="1" x14ac:dyDescent="0.25">
      <c r="A47" s="2487"/>
      <c r="B47" s="2541"/>
      <c r="C47" s="2513"/>
      <c r="D47" s="2496"/>
      <c r="E47" s="2499"/>
      <c r="F47" s="2530"/>
      <c r="G47" s="2530"/>
      <c r="H47" s="594" t="s">
        <v>34</v>
      </c>
      <c r="I47" s="389">
        <f>J47+L47</f>
        <v>85</v>
      </c>
      <c r="J47" s="382">
        <f>55+20+10</f>
        <v>85</v>
      </c>
      <c r="K47" s="382">
        <f>2+3</f>
        <v>5</v>
      </c>
      <c r="L47" s="368"/>
      <c r="M47" s="389">
        <f>N47+P47</f>
        <v>100</v>
      </c>
      <c r="N47" s="382">
        <v>100</v>
      </c>
      <c r="O47" s="382">
        <v>5</v>
      </c>
      <c r="P47" s="368"/>
      <c r="Q47" s="389">
        <f>R47+T47</f>
        <v>100</v>
      </c>
      <c r="R47" s="382">
        <v>100</v>
      </c>
      <c r="S47" s="382">
        <v>5</v>
      </c>
      <c r="T47" s="368"/>
      <c r="U47" s="389">
        <f>V47</f>
        <v>100</v>
      </c>
      <c r="V47" s="382">
        <v>100</v>
      </c>
      <c r="W47" s="382">
        <v>5</v>
      </c>
      <c r="X47" s="368"/>
    </row>
    <row r="48" spans="1:58" s="537" customFormat="1" ht="34.15" customHeight="1" thickBot="1" x14ac:dyDescent="0.25">
      <c r="A48" s="2488"/>
      <c r="B48" s="2542"/>
      <c r="C48" s="2531"/>
      <c r="D48" s="2497"/>
      <c r="E48" s="2500"/>
      <c r="F48" s="2516" t="s">
        <v>35</v>
      </c>
      <c r="G48" s="2517"/>
      <c r="H48" s="2518"/>
      <c r="I48" s="359">
        <f>J48+L48</f>
        <v>190.9</v>
      </c>
      <c r="J48" s="374">
        <f>SUM(J45:J47,)</f>
        <v>190.9</v>
      </c>
      <c r="K48" s="374">
        <f>SUM(K45:K47,)</f>
        <v>80.099999999999994</v>
      </c>
      <c r="L48" s="476">
        <f>SUM(L45:L47,)</f>
        <v>0</v>
      </c>
      <c r="M48" s="359">
        <f>N48+P48</f>
        <v>256.3</v>
      </c>
      <c r="N48" s="374">
        <f>SUM(N45:N47,)</f>
        <v>220.3</v>
      </c>
      <c r="O48" s="374">
        <f>O45+O46+O47</f>
        <v>91.6</v>
      </c>
      <c r="P48" s="476">
        <f>SUM(P45:P47,)</f>
        <v>36</v>
      </c>
      <c r="Q48" s="359">
        <f>R48+T48</f>
        <v>220</v>
      </c>
      <c r="R48" s="374">
        <f>SUM(R45:R47,)</f>
        <v>220</v>
      </c>
      <c r="S48" s="374">
        <f>SUM(S45:S47,)</f>
        <v>91.6</v>
      </c>
      <c r="T48" s="476">
        <f>SUM(T45:T47,)</f>
        <v>0</v>
      </c>
      <c r="U48" s="359">
        <f>V48+X48</f>
        <v>220</v>
      </c>
      <c r="V48" s="374">
        <f>SUM(V45:V47,)</f>
        <v>220</v>
      </c>
      <c r="W48" s="374">
        <f>SUM(W45:W47,)</f>
        <v>91.6</v>
      </c>
      <c r="X48" s="476">
        <f>SUM(X45:X47,)</f>
        <v>0</v>
      </c>
    </row>
    <row r="49" spans="1:25" s="537" customFormat="1" ht="12" customHeight="1" thickBot="1" x14ac:dyDescent="0.25">
      <c r="A49" s="2405">
        <v>3</v>
      </c>
      <c r="B49" s="472">
        <v>1</v>
      </c>
      <c r="C49" s="2701" t="s">
        <v>234</v>
      </c>
      <c r="D49" s="2702"/>
      <c r="E49" s="2702"/>
      <c r="F49" s="2702"/>
      <c r="G49" s="2702"/>
      <c r="H49" s="2703"/>
      <c r="I49" s="595">
        <f>J49+L49</f>
        <v>190.9</v>
      </c>
      <c r="J49" s="596">
        <f>+J48</f>
        <v>190.9</v>
      </c>
      <c r="K49" s="596">
        <f>+K48</f>
        <v>80.099999999999994</v>
      </c>
      <c r="L49" s="596">
        <f>+L48</f>
        <v>0</v>
      </c>
      <c r="M49" s="595">
        <f>N49+P49</f>
        <v>256.3</v>
      </c>
      <c r="N49" s="596">
        <f>+N48</f>
        <v>220.3</v>
      </c>
      <c r="O49" s="596">
        <f>+O48</f>
        <v>91.6</v>
      </c>
      <c r="P49" s="596">
        <f>+P48</f>
        <v>36</v>
      </c>
      <c r="Q49" s="595">
        <f>R49+T49</f>
        <v>220</v>
      </c>
      <c r="R49" s="596">
        <f>+R48</f>
        <v>220</v>
      </c>
      <c r="S49" s="596">
        <f>+S48</f>
        <v>91.6</v>
      </c>
      <c r="T49" s="465">
        <f>+T48</f>
        <v>0</v>
      </c>
      <c r="U49" s="595">
        <f>V49+X49</f>
        <v>220</v>
      </c>
      <c r="V49" s="596">
        <f>+V48</f>
        <v>220</v>
      </c>
      <c r="W49" s="596">
        <f>+W48</f>
        <v>91.6</v>
      </c>
      <c r="X49" s="465">
        <f>X48</f>
        <v>0</v>
      </c>
    </row>
    <row r="50" spans="1:25" s="537" customFormat="1" ht="12" customHeight="1" thickBot="1" x14ac:dyDescent="0.25">
      <c r="A50" s="2400">
        <v>3</v>
      </c>
      <c r="B50" s="597">
        <v>2</v>
      </c>
      <c r="C50" s="2552" t="s">
        <v>258</v>
      </c>
      <c r="D50" s="2553"/>
      <c r="E50" s="2553"/>
      <c r="F50" s="2553"/>
      <c r="G50" s="2553"/>
      <c r="H50" s="2553"/>
      <c r="I50" s="2553"/>
      <c r="J50" s="2553"/>
      <c r="K50" s="2553"/>
      <c r="L50" s="2553"/>
      <c r="M50" s="2553"/>
      <c r="N50" s="2553"/>
      <c r="O50" s="2553"/>
      <c r="P50" s="2553"/>
      <c r="Q50" s="2553"/>
      <c r="R50" s="2553"/>
      <c r="S50" s="2553"/>
      <c r="T50" s="2553"/>
      <c r="U50" s="2553"/>
      <c r="V50" s="2553"/>
      <c r="W50" s="2553"/>
      <c r="X50" s="2554"/>
    </row>
    <row r="51" spans="1:25" s="537" customFormat="1" ht="24" customHeight="1" thickBot="1" x14ac:dyDescent="0.25">
      <c r="A51" s="2704">
        <v>3</v>
      </c>
      <c r="B51" s="2545">
        <v>2</v>
      </c>
      <c r="C51" s="2531">
        <v>1</v>
      </c>
      <c r="D51" s="2497" t="s">
        <v>259</v>
      </c>
      <c r="E51" s="2609" t="s">
        <v>260</v>
      </c>
      <c r="F51" s="2401" t="s">
        <v>256</v>
      </c>
      <c r="G51" s="2401" t="s">
        <v>261</v>
      </c>
      <c r="H51" s="436" t="s">
        <v>30</v>
      </c>
      <c r="I51" s="2382"/>
      <c r="J51" s="2383"/>
      <c r="K51" s="2383"/>
      <c r="L51" s="2384"/>
      <c r="M51" s="2382">
        <f>N51+P51</f>
        <v>34.9</v>
      </c>
      <c r="N51" s="2383">
        <v>34.9</v>
      </c>
      <c r="O51" s="2383"/>
      <c r="P51" s="2384"/>
      <c r="Q51" s="2382">
        <f>R51+T51</f>
        <v>34.9</v>
      </c>
      <c r="R51" s="2383">
        <v>34.9</v>
      </c>
      <c r="S51" s="2383"/>
      <c r="T51" s="2384"/>
      <c r="U51" s="2382">
        <f>V51+X51</f>
        <v>34.9</v>
      </c>
      <c r="V51" s="2383">
        <v>34.9</v>
      </c>
      <c r="W51" s="2383"/>
      <c r="X51" s="2384"/>
    </row>
    <row r="52" spans="1:25" s="537" customFormat="1" ht="18" customHeight="1" thickBot="1" x14ac:dyDescent="0.25">
      <c r="A52" s="2704"/>
      <c r="B52" s="2545"/>
      <c r="C52" s="2530"/>
      <c r="D52" s="2705"/>
      <c r="E52" s="2633"/>
      <c r="F52" s="2516" t="s">
        <v>35</v>
      </c>
      <c r="G52" s="2517"/>
      <c r="H52" s="2518"/>
      <c r="I52" s="374">
        <f t="shared" ref="I52:L52" si="23">SUM(I51)</f>
        <v>0</v>
      </c>
      <c r="J52" s="360">
        <f t="shared" si="23"/>
        <v>0</v>
      </c>
      <c r="K52" s="360">
        <f t="shared" si="23"/>
        <v>0</v>
      </c>
      <c r="L52" s="361">
        <f t="shared" si="23"/>
        <v>0</v>
      </c>
      <c r="M52" s="374">
        <f>N52+P52</f>
        <v>34.9</v>
      </c>
      <c r="N52" s="360">
        <f>N51</f>
        <v>34.9</v>
      </c>
      <c r="O52" s="360"/>
      <c r="P52" s="361"/>
      <c r="Q52" s="374">
        <f>R52+T52</f>
        <v>34.9</v>
      </c>
      <c r="R52" s="360">
        <f>R51</f>
        <v>34.9</v>
      </c>
      <c r="S52" s="360"/>
      <c r="T52" s="361"/>
      <c r="U52" s="374">
        <f>V52+X52</f>
        <v>34.9</v>
      </c>
      <c r="V52" s="360">
        <f>V51</f>
        <v>34.9</v>
      </c>
      <c r="W52" s="360"/>
      <c r="X52" s="361"/>
    </row>
    <row r="53" spans="1:25" s="537" customFormat="1" ht="19.5" customHeight="1" thickBot="1" x14ac:dyDescent="0.25">
      <c r="A53" s="2488">
        <v>3</v>
      </c>
      <c r="B53" s="2540">
        <v>2</v>
      </c>
      <c r="C53" s="2531">
        <v>2</v>
      </c>
      <c r="D53" s="2602" t="s">
        <v>262</v>
      </c>
      <c r="E53" s="2728" t="s">
        <v>1334</v>
      </c>
      <c r="F53" s="2389" t="s">
        <v>256</v>
      </c>
      <c r="G53" s="2390" t="s">
        <v>263</v>
      </c>
      <c r="H53" s="2391" t="s">
        <v>30</v>
      </c>
      <c r="I53" s="455">
        <f>J53+L53</f>
        <v>0</v>
      </c>
      <c r="J53" s="457"/>
      <c r="K53" s="457"/>
      <c r="L53" s="458"/>
      <c r="M53" s="1941">
        <f>N53+P53</f>
        <v>25</v>
      </c>
      <c r="N53" s="1942">
        <v>25</v>
      </c>
      <c r="O53" s="457"/>
      <c r="P53" s="458"/>
      <c r="Q53" s="455"/>
      <c r="R53" s="457"/>
      <c r="S53" s="457"/>
      <c r="T53" s="458"/>
      <c r="U53" s="455"/>
      <c r="V53" s="457"/>
      <c r="W53" s="457"/>
      <c r="X53" s="458"/>
    </row>
    <row r="54" spans="1:25" s="537" customFormat="1" ht="15.75" customHeight="1" thickBot="1" x14ac:dyDescent="0.25">
      <c r="A54" s="2704"/>
      <c r="B54" s="2542"/>
      <c r="C54" s="2530"/>
      <c r="D54" s="2522"/>
      <c r="E54" s="2729"/>
      <c r="F54" s="2516" t="s">
        <v>35</v>
      </c>
      <c r="G54" s="2517"/>
      <c r="H54" s="2518"/>
      <c r="I54" s="427">
        <f>I53</f>
        <v>0</v>
      </c>
      <c r="J54" s="422">
        <f>J53</f>
        <v>0</v>
      </c>
      <c r="K54" s="422"/>
      <c r="L54" s="428"/>
      <c r="M54" s="427">
        <f>M53</f>
        <v>25</v>
      </c>
      <c r="N54" s="422">
        <f>N53</f>
        <v>25</v>
      </c>
      <c r="O54" s="422"/>
      <c r="P54" s="428"/>
      <c r="Q54" s="427"/>
      <c r="R54" s="422"/>
      <c r="S54" s="422"/>
      <c r="T54" s="428"/>
      <c r="U54" s="427"/>
      <c r="V54" s="422"/>
      <c r="W54" s="422"/>
      <c r="X54" s="428"/>
    </row>
    <row r="55" spans="1:25" s="537" customFormat="1" ht="28.5" hidden="1" customHeight="1" thickBot="1" x14ac:dyDescent="0.25">
      <c r="A55" s="2704">
        <v>3</v>
      </c>
      <c r="B55" s="2545">
        <v>2</v>
      </c>
      <c r="C55" s="2531">
        <v>7</v>
      </c>
      <c r="D55" s="2727" t="s">
        <v>264</v>
      </c>
      <c r="E55" s="2532" t="s">
        <v>265</v>
      </c>
      <c r="F55" s="2387" t="s">
        <v>256</v>
      </c>
      <c r="G55" s="2387" t="s">
        <v>266</v>
      </c>
      <c r="H55" s="489" t="s">
        <v>30</v>
      </c>
      <c r="I55" s="2382"/>
      <c r="J55" s="2383"/>
      <c r="K55" s="2383"/>
      <c r="L55" s="2384"/>
      <c r="M55" s="2382"/>
      <c r="N55" s="2383"/>
      <c r="O55" s="2383"/>
      <c r="P55" s="2384"/>
      <c r="Q55" s="2382"/>
      <c r="R55" s="2383"/>
      <c r="S55" s="2383"/>
      <c r="T55" s="2384"/>
      <c r="U55" s="2382"/>
      <c r="V55" s="2383"/>
      <c r="W55" s="2383"/>
      <c r="X55" s="2384"/>
    </row>
    <row r="56" spans="1:25" s="537" customFormat="1" ht="28.5" hidden="1" customHeight="1" x14ac:dyDescent="0.2">
      <c r="A56" s="2704"/>
      <c r="B56" s="2545"/>
      <c r="C56" s="2530"/>
      <c r="D56" s="2727"/>
      <c r="E56" s="2532"/>
      <c r="F56" s="2516" t="s">
        <v>35</v>
      </c>
      <c r="G56" s="2517"/>
      <c r="H56" s="2518"/>
      <c r="I56" s="374"/>
      <c r="J56" s="360"/>
      <c r="K56" s="360"/>
      <c r="L56" s="361"/>
      <c r="M56" s="374"/>
      <c r="N56" s="360"/>
      <c r="O56" s="360"/>
      <c r="P56" s="361"/>
      <c r="Q56" s="374"/>
      <c r="R56" s="360"/>
      <c r="S56" s="360"/>
      <c r="T56" s="361"/>
      <c r="U56" s="374"/>
      <c r="V56" s="360"/>
      <c r="W56" s="360"/>
      <c r="X56" s="361"/>
    </row>
    <row r="57" spans="1:25" s="537" customFormat="1" ht="18.75" customHeight="1" x14ac:dyDescent="0.2">
      <c r="A57" s="2486">
        <v>3</v>
      </c>
      <c r="B57" s="2540">
        <v>2</v>
      </c>
      <c r="C57" s="2572">
        <v>3</v>
      </c>
      <c r="D57" s="2725" t="s">
        <v>267</v>
      </c>
      <c r="E57" s="2633" t="s">
        <v>268</v>
      </c>
      <c r="F57" s="2722" t="s">
        <v>256</v>
      </c>
      <c r="G57" s="2722" t="s">
        <v>269</v>
      </c>
      <c r="H57" s="376" t="s">
        <v>30</v>
      </c>
      <c r="I57" s="598">
        <f>L57+J57</f>
        <v>0.2</v>
      </c>
      <c r="J57" s="413">
        <v>0.2</v>
      </c>
      <c r="K57" s="413"/>
      <c r="L57" s="425"/>
      <c r="M57" s="598"/>
      <c r="N57" s="413"/>
      <c r="O57" s="413"/>
      <c r="P57" s="425"/>
      <c r="Q57" s="598"/>
      <c r="R57" s="413"/>
      <c r="S57" s="413"/>
      <c r="T57" s="425"/>
      <c r="U57" s="598"/>
      <c r="V57" s="413"/>
      <c r="W57" s="413"/>
      <c r="X57" s="425"/>
    </row>
    <row r="58" spans="1:25" s="537" customFormat="1" ht="18.75" customHeight="1" x14ac:dyDescent="0.2">
      <c r="A58" s="2487"/>
      <c r="B58" s="2541"/>
      <c r="C58" s="2572"/>
      <c r="D58" s="2725"/>
      <c r="E58" s="2633"/>
      <c r="F58" s="2556"/>
      <c r="G58" s="2556"/>
      <c r="H58" s="497" t="s">
        <v>111</v>
      </c>
      <c r="I58" s="434"/>
      <c r="J58" s="377"/>
      <c r="K58" s="377"/>
      <c r="L58" s="390"/>
      <c r="M58" s="434"/>
      <c r="N58" s="377"/>
      <c r="O58" s="377"/>
      <c r="P58" s="390"/>
      <c r="Q58" s="434"/>
      <c r="R58" s="377"/>
      <c r="S58" s="377"/>
      <c r="T58" s="390"/>
      <c r="U58" s="434"/>
      <c r="V58" s="377"/>
      <c r="W58" s="377"/>
      <c r="X58" s="390"/>
    </row>
    <row r="59" spans="1:25" s="537" customFormat="1" ht="34.5" customHeight="1" thickBot="1" x14ac:dyDescent="0.25">
      <c r="A59" s="2487"/>
      <c r="B59" s="2541"/>
      <c r="C59" s="2572"/>
      <c r="D59" s="2725"/>
      <c r="E59" s="2633"/>
      <c r="F59" s="2723"/>
      <c r="G59" s="2723"/>
      <c r="H59" s="497" t="s">
        <v>202</v>
      </c>
      <c r="I59" s="434"/>
      <c r="J59" s="377"/>
      <c r="K59" s="377"/>
      <c r="L59" s="390"/>
      <c r="M59" s="434"/>
      <c r="N59" s="377"/>
      <c r="O59" s="377"/>
      <c r="P59" s="390"/>
      <c r="Q59" s="434"/>
      <c r="R59" s="377"/>
      <c r="S59" s="377"/>
      <c r="T59" s="390"/>
      <c r="U59" s="434"/>
      <c r="V59" s="377"/>
      <c r="W59" s="377"/>
      <c r="X59" s="390"/>
    </row>
    <row r="60" spans="1:25" s="537" customFormat="1" ht="18.75" customHeight="1" thickBot="1" x14ac:dyDescent="0.25">
      <c r="A60" s="2488"/>
      <c r="B60" s="2542"/>
      <c r="C60" s="2561"/>
      <c r="D60" s="2726"/>
      <c r="E60" s="2633"/>
      <c r="F60" s="2596" t="s">
        <v>35</v>
      </c>
      <c r="G60" s="2597"/>
      <c r="H60" s="2598"/>
      <c r="I60" s="363">
        <f>J60+L60</f>
        <v>0.2</v>
      </c>
      <c r="J60" s="387">
        <f>J57</f>
        <v>0.2</v>
      </c>
      <c r="K60" s="387"/>
      <c r="L60" s="388"/>
      <c r="M60" s="363"/>
      <c r="N60" s="387"/>
      <c r="O60" s="387"/>
      <c r="P60" s="388"/>
      <c r="Q60" s="363"/>
      <c r="R60" s="387"/>
      <c r="S60" s="387"/>
      <c r="T60" s="388"/>
      <c r="U60" s="363"/>
      <c r="V60" s="387"/>
      <c r="W60" s="387"/>
      <c r="X60" s="388"/>
    </row>
    <row r="61" spans="1:25" s="537" customFormat="1" ht="15" customHeight="1" thickBot="1" x14ac:dyDescent="0.25">
      <c r="A61" s="557">
        <v>3</v>
      </c>
      <c r="B61" s="599">
        <v>2</v>
      </c>
      <c r="C61" s="2701" t="s">
        <v>234</v>
      </c>
      <c r="D61" s="2702"/>
      <c r="E61" s="2702"/>
      <c r="F61" s="2702"/>
      <c r="G61" s="2702"/>
      <c r="H61" s="2703"/>
      <c r="I61" s="600">
        <f>J61+L61</f>
        <v>0.2</v>
      </c>
      <c r="J61" s="463">
        <f>+J60+J54+J52</f>
        <v>0.2</v>
      </c>
      <c r="K61" s="463">
        <f>+K60+K54+K52</f>
        <v>0</v>
      </c>
      <c r="L61" s="463">
        <f>+L60+L54+L52</f>
        <v>0</v>
      </c>
      <c r="M61" s="600">
        <f>N61+P61</f>
        <v>59.9</v>
      </c>
      <c r="N61" s="463">
        <f>+N60+N54+N52</f>
        <v>59.9</v>
      </c>
      <c r="O61" s="463">
        <f>+O60+O54+O52</f>
        <v>0</v>
      </c>
      <c r="P61" s="463">
        <f>+P60+P54+P52</f>
        <v>0</v>
      </c>
      <c r="Q61" s="600">
        <f>R61+T61</f>
        <v>34.9</v>
      </c>
      <c r="R61" s="463">
        <f>+R60+R54+R52</f>
        <v>34.9</v>
      </c>
      <c r="S61" s="463">
        <f>+S60+S54+S52</f>
        <v>0</v>
      </c>
      <c r="T61" s="463">
        <f>+T60+T54+T52</f>
        <v>0</v>
      </c>
      <c r="U61" s="600">
        <f>V61+X61</f>
        <v>34.9</v>
      </c>
      <c r="V61" s="463">
        <f>+V60+V54+V52</f>
        <v>34.9</v>
      </c>
      <c r="W61" s="463">
        <f>+W60+W54+W52</f>
        <v>0</v>
      </c>
      <c r="X61" s="465">
        <f>+X60+X54+X52</f>
        <v>0</v>
      </c>
      <c r="Y61" s="2331"/>
    </row>
    <row r="62" spans="1:25" s="537" customFormat="1" ht="15" customHeight="1" thickBot="1" x14ac:dyDescent="0.25">
      <c r="A62" s="546">
        <v>3</v>
      </c>
      <c r="B62" s="547">
        <v>3</v>
      </c>
      <c r="C62" s="2552" t="s">
        <v>270</v>
      </c>
      <c r="D62" s="2553"/>
      <c r="E62" s="2553"/>
      <c r="F62" s="2553"/>
      <c r="G62" s="2553"/>
      <c r="H62" s="2553"/>
      <c r="I62" s="2553"/>
      <c r="J62" s="2553"/>
      <c r="K62" s="2553"/>
      <c r="L62" s="2553"/>
      <c r="M62" s="2553"/>
      <c r="N62" s="2553"/>
      <c r="O62" s="2553"/>
      <c r="P62" s="2553"/>
      <c r="Q62" s="2553"/>
      <c r="R62" s="2553"/>
      <c r="S62" s="2553"/>
      <c r="T62" s="2553"/>
      <c r="U62" s="2553"/>
      <c r="V62" s="2553"/>
      <c r="W62" s="2553"/>
      <c r="X62" s="2554"/>
    </row>
    <row r="63" spans="1:25" s="537" customFormat="1" ht="25.5" customHeight="1" x14ac:dyDescent="0.2">
      <c r="A63" s="2486">
        <v>3</v>
      </c>
      <c r="B63" s="2545">
        <v>3</v>
      </c>
      <c r="C63" s="2530">
        <v>1</v>
      </c>
      <c r="D63" s="2724" t="s">
        <v>271</v>
      </c>
      <c r="E63" s="2608" t="s">
        <v>255</v>
      </c>
      <c r="F63" s="2501" t="s">
        <v>256</v>
      </c>
      <c r="G63" s="2501" t="s">
        <v>272</v>
      </c>
      <c r="H63" s="347" t="s">
        <v>30</v>
      </c>
      <c r="I63" s="601">
        <f t="shared" ref="I63:I71" si="24">J63+L63</f>
        <v>33.4</v>
      </c>
      <c r="J63" s="2383">
        <v>11.9</v>
      </c>
      <c r="K63" s="2383">
        <v>3.7</v>
      </c>
      <c r="L63" s="2384">
        <v>21.5</v>
      </c>
      <c r="M63" s="601">
        <f t="shared" ref="M63:M71" si="25">N63+P63</f>
        <v>7.3</v>
      </c>
      <c r="N63" s="2383">
        <v>7.3</v>
      </c>
      <c r="O63" s="2383">
        <v>3.4</v>
      </c>
      <c r="P63" s="2384"/>
      <c r="Q63" s="601"/>
      <c r="R63" s="2383"/>
      <c r="S63" s="2383"/>
      <c r="T63" s="2384"/>
      <c r="U63" s="601"/>
      <c r="V63" s="2383"/>
      <c r="W63" s="2383"/>
      <c r="X63" s="2384"/>
    </row>
    <row r="64" spans="1:25" s="537" customFormat="1" ht="25.5" customHeight="1" thickBot="1" x14ac:dyDescent="0.25">
      <c r="A64" s="2487"/>
      <c r="B64" s="2545"/>
      <c r="C64" s="2510"/>
      <c r="D64" s="2527"/>
      <c r="E64" s="2595"/>
      <c r="F64" s="2502"/>
      <c r="G64" s="2502"/>
      <c r="H64" s="2391" t="s">
        <v>111</v>
      </c>
      <c r="I64" s="602">
        <f t="shared" si="24"/>
        <v>68.099999999999994</v>
      </c>
      <c r="J64" s="457">
        <v>18.600000000000001</v>
      </c>
      <c r="K64" s="457">
        <v>4.4000000000000004</v>
      </c>
      <c r="L64" s="458">
        <v>49.5</v>
      </c>
      <c r="M64" s="602">
        <f t="shared" si="25"/>
        <v>33</v>
      </c>
      <c r="N64" s="457">
        <v>16</v>
      </c>
      <c r="O64" s="457">
        <v>5.6</v>
      </c>
      <c r="P64" s="458">
        <v>17</v>
      </c>
      <c r="Q64" s="602"/>
      <c r="R64" s="457"/>
      <c r="S64" s="457"/>
      <c r="T64" s="458"/>
      <c r="U64" s="602"/>
      <c r="V64" s="457"/>
      <c r="W64" s="457"/>
      <c r="X64" s="458"/>
    </row>
    <row r="65" spans="1:25" s="537" customFormat="1" ht="24.75" customHeight="1" thickBot="1" x14ac:dyDescent="0.25">
      <c r="A65" s="2487"/>
      <c r="B65" s="2540"/>
      <c r="C65" s="2510"/>
      <c r="D65" s="2527"/>
      <c r="E65" s="2595"/>
      <c r="F65" s="2578" t="s">
        <v>35</v>
      </c>
      <c r="G65" s="2579"/>
      <c r="H65" s="2580"/>
      <c r="I65" s="359">
        <f t="shared" si="24"/>
        <v>101.5</v>
      </c>
      <c r="J65" s="360">
        <f>J63+J64</f>
        <v>30.5</v>
      </c>
      <c r="K65" s="360">
        <f>K63+K64</f>
        <v>8.1000000000000014</v>
      </c>
      <c r="L65" s="361">
        <f>L63+L64</f>
        <v>71</v>
      </c>
      <c r="M65" s="359">
        <f t="shared" si="25"/>
        <v>40.299999999999997</v>
      </c>
      <c r="N65" s="360">
        <f>N63+N64</f>
        <v>23.3</v>
      </c>
      <c r="O65" s="360">
        <f>O63+O64</f>
        <v>9</v>
      </c>
      <c r="P65" s="361">
        <f>P63+P64</f>
        <v>17</v>
      </c>
      <c r="Q65" s="359">
        <f t="shared" ref="Q65:Q71" si="26">R65+T65</f>
        <v>0</v>
      </c>
      <c r="R65" s="360">
        <f>R63+R64</f>
        <v>0</v>
      </c>
      <c r="S65" s="360">
        <f>S63+S64</f>
        <v>0</v>
      </c>
      <c r="T65" s="361">
        <f>T63+T64</f>
        <v>0</v>
      </c>
      <c r="U65" s="359">
        <f t="shared" ref="U65:U71" si="27">V65+X65</f>
        <v>0</v>
      </c>
      <c r="V65" s="360">
        <f>V63+V64</f>
        <v>0</v>
      </c>
      <c r="W65" s="360">
        <f>W63+W64</f>
        <v>0</v>
      </c>
      <c r="X65" s="361">
        <f>X63+X64</f>
        <v>0</v>
      </c>
    </row>
    <row r="66" spans="1:25" s="537" customFormat="1" ht="37.9" customHeight="1" thickBot="1" x14ac:dyDescent="0.25">
      <c r="A66" s="2704">
        <v>3</v>
      </c>
      <c r="B66" s="2545">
        <v>3</v>
      </c>
      <c r="C66" s="2530">
        <v>2</v>
      </c>
      <c r="D66" s="2719" t="s">
        <v>273</v>
      </c>
      <c r="E66" s="2720" t="s">
        <v>1188</v>
      </c>
      <c r="F66" s="2390" t="s">
        <v>256</v>
      </c>
      <c r="G66" s="2390" t="s">
        <v>274</v>
      </c>
      <c r="H66" s="2391" t="s">
        <v>30</v>
      </c>
      <c r="I66" s="437">
        <f>J66+L66</f>
        <v>2</v>
      </c>
      <c r="J66" s="438">
        <v>0</v>
      </c>
      <c r="K66" s="438"/>
      <c r="L66" s="439">
        <v>2</v>
      </c>
      <c r="M66" s="437">
        <f>N66+P66</f>
        <v>62</v>
      </c>
      <c r="N66" s="438">
        <v>62</v>
      </c>
      <c r="O66" s="438"/>
      <c r="P66" s="439"/>
      <c r="Q66" s="437">
        <f t="shared" si="26"/>
        <v>62</v>
      </c>
      <c r="R66" s="438">
        <v>62</v>
      </c>
      <c r="S66" s="438"/>
      <c r="T66" s="439"/>
      <c r="U66" s="437"/>
      <c r="V66" s="438"/>
      <c r="W66" s="438"/>
      <c r="X66" s="439"/>
    </row>
    <row r="67" spans="1:25" s="537" customFormat="1" ht="19.5" customHeight="1" thickBot="1" x14ac:dyDescent="0.25">
      <c r="A67" s="2704"/>
      <c r="B67" s="2545"/>
      <c r="C67" s="2530"/>
      <c r="D67" s="2719"/>
      <c r="E67" s="2721"/>
      <c r="F67" s="2578" t="s">
        <v>35</v>
      </c>
      <c r="G67" s="2579"/>
      <c r="H67" s="2586"/>
      <c r="I67" s="359">
        <f>J67+L67</f>
        <v>2</v>
      </c>
      <c r="J67" s="360">
        <f>J66</f>
        <v>0</v>
      </c>
      <c r="K67" s="360">
        <f t="shared" ref="K67:L67" si="28">K66</f>
        <v>0</v>
      </c>
      <c r="L67" s="360">
        <f t="shared" si="28"/>
        <v>2</v>
      </c>
      <c r="M67" s="359">
        <f t="shared" si="25"/>
        <v>62</v>
      </c>
      <c r="N67" s="360">
        <f>N66</f>
        <v>62</v>
      </c>
      <c r="O67" s="360">
        <f>O66</f>
        <v>0</v>
      </c>
      <c r="P67" s="361"/>
      <c r="Q67" s="359">
        <f t="shared" si="26"/>
        <v>62</v>
      </c>
      <c r="R67" s="360">
        <f>R66</f>
        <v>62</v>
      </c>
      <c r="S67" s="360"/>
      <c r="T67" s="361"/>
      <c r="U67" s="359">
        <f t="shared" si="27"/>
        <v>0</v>
      </c>
      <c r="V67" s="360">
        <f>V66</f>
        <v>0</v>
      </c>
      <c r="W67" s="360"/>
      <c r="X67" s="361"/>
    </row>
    <row r="68" spans="1:25" s="537" customFormat="1" ht="138" customHeight="1" thickBot="1" x14ac:dyDescent="0.25">
      <c r="A68" s="2488">
        <v>3</v>
      </c>
      <c r="B68" s="2542">
        <v>3</v>
      </c>
      <c r="C68" s="2531">
        <v>3</v>
      </c>
      <c r="D68" s="2602" t="s">
        <v>275</v>
      </c>
      <c r="E68" s="2609" t="s">
        <v>255</v>
      </c>
      <c r="F68" s="2390" t="s">
        <v>256</v>
      </c>
      <c r="G68" s="2390" t="s">
        <v>276</v>
      </c>
      <c r="H68" s="407" t="s">
        <v>30</v>
      </c>
      <c r="I68" s="408">
        <f>J68+L68</f>
        <v>0</v>
      </c>
      <c r="J68" s="349">
        <v>0</v>
      </c>
      <c r="K68" s="349"/>
      <c r="L68" s="350"/>
      <c r="M68" s="429">
        <f t="shared" si="25"/>
        <v>22.9</v>
      </c>
      <c r="N68" s="380">
        <v>18.899999999999999</v>
      </c>
      <c r="O68" s="380"/>
      <c r="P68" s="383">
        <v>4</v>
      </c>
      <c r="Q68" s="408">
        <f t="shared" si="26"/>
        <v>0</v>
      </c>
      <c r="R68" s="349"/>
      <c r="S68" s="349"/>
      <c r="T68" s="350"/>
      <c r="U68" s="408">
        <f t="shared" si="27"/>
        <v>0</v>
      </c>
      <c r="V68" s="349"/>
      <c r="W68" s="349"/>
      <c r="X68" s="350"/>
    </row>
    <row r="69" spans="1:25" s="537" customFormat="1" ht="23.25" customHeight="1" thickBot="1" x14ac:dyDescent="0.25">
      <c r="A69" s="2704"/>
      <c r="B69" s="2540"/>
      <c r="C69" s="2582"/>
      <c r="D69" s="2593"/>
      <c r="E69" s="2718"/>
      <c r="F69" s="2516" t="s">
        <v>35</v>
      </c>
      <c r="G69" s="2517"/>
      <c r="H69" s="2518"/>
      <c r="I69" s="359">
        <f>J69+L69</f>
        <v>0</v>
      </c>
      <c r="J69" s="360">
        <f>J68</f>
        <v>0</v>
      </c>
      <c r="K69" s="360"/>
      <c r="L69" s="362"/>
      <c r="M69" s="359">
        <f>N69+P68</f>
        <v>22.9</v>
      </c>
      <c r="N69" s="360">
        <f>N68</f>
        <v>18.899999999999999</v>
      </c>
      <c r="O69" s="360">
        <f t="shared" ref="O69:P69" si="29">O68</f>
        <v>0</v>
      </c>
      <c r="P69" s="361">
        <f t="shared" si="29"/>
        <v>4</v>
      </c>
      <c r="Q69" s="374">
        <f t="shared" si="26"/>
        <v>0</v>
      </c>
      <c r="R69" s="360">
        <f>R68</f>
        <v>0</v>
      </c>
      <c r="S69" s="360"/>
      <c r="T69" s="361"/>
      <c r="U69" s="359">
        <f t="shared" si="27"/>
        <v>0</v>
      </c>
      <c r="V69" s="360">
        <f>V68</f>
        <v>0</v>
      </c>
      <c r="W69" s="360"/>
      <c r="X69" s="361"/>
    </row>
    <row r="70" spans="1:25" s="537" customFormat="1" ht="15" customHeight="1" thickBot="1" x14ac:dyDescent="0.25">
      <c r="A70" s="549">
        <v>3</v>
      </c>
      <c r="B70" s="550">
        <v>3</v>
      </c>
      <c r="C70" s="2712" t="s">
        <v>234</v>
      </c>
      <c r="D70" s="2563"/>
      <c r="E70" s="2563"/>
      <c r="F70" s="2563"/>
      <c r="G70" s="2563"/>
      <c r="H70" s="2713"/>
      <c r="I70" s="586">
        <f t="shared" si="24"/>
        <v>103.5</v>
      </c>
      <c r="J70" s="447">
        <f>J69+J67+J65</f>
        <v>30.5</v>
      </c>
      <c r="K70" s="447">
        <f>K69+K67+K65</f>
        <v>8.1000000000000014</v>
      </c>
      <c r="L70" s="447">
        <f>L69+L67+L65</f>
        <v>73</v>
      </c>
      <c r="M70" s="586">
        <f t="shared" si="25"/>
        <v>125.2</v>
      </c>
      <c r="N70" s="447">
        <f>N69+N67+N65</f>
        <v>104.2</v>
      </c>
      <c r="O70" s="447">
        <f>O69+O67+O65</f>
        <v>9</v>
      </c>
      <c r="P70" s="447">
        <f>P69+P67+P65</f>
        <v>21</v>
      </c>
      <c r="Q70" s="586">
        <f t="shared" si="26"/>
        <v>62</v>
      </c>
      <c r="R70" s="447">
        <f>R69+R67+R65</f>
        <v>62</v>
      </c>
      <c r="S70" s="447">
        <f>S69+S67+S65</f>
        <v>0</v>
      </c>
      <c r="T70" s="447">
        <f>T69+T67+T65</f>
        <v>0</v>
      </c>
      <c r="U70" s="586">
        <f t="shared" si="27"/>
        <v>0</v>
      </c>
      <c r="V70" s="447">
        <f>V69+V67+V65</f>
        <v>0</v>
      </c>
      <c r="W70" s="447">
        <f>W69+W67+W65</f>
        <v>0</v>
      </c>
      <c r="X70" s="448">
        <f>X69+X67+X65</f>
        <v>0</v>
      </c>
      <c r="Y70" s="2331"/>
    </row>
    <row r="71" spans="1:25" s="537" customFormat="1" ht="15" customHeight="1" thickBot="1" x14ac:dyDescent="0.25">
      <c r="A71" s="603">
        <v>3</v>
      </c>
      <c r="B71" s="2714" t="s">
        <v>167</v>
      </c>
      <c r="C71" s="2715"/>
      <c r="D71" s="2715"/>
      <c r="E71" s="2715"/>
      <c r="F71" s="2715"/>
      <c r="G71" s="2715"/>
      <c r="H71" s="2716"/>
      <c r="I71" s="604">
        <f t="shared" si="24"/>
        <v>294.60000000000002</v>
      </c>
      <c r="J71" s="605">
        <f>J70+J61+J49</f>
        <v>221.6</v>
      </c>
      <c r="K71" s="467">
        <f>K70+K61+K49</f>
        <v>88.199999999999989</v>
      </c>
      <c r="L71" s="606">
        <f>L70+L61+L49</f>
        <v>73</v>
      </c>
      <c r="M71" s="604">
        <f t="shared" si="25"/>
        <v>441.4</v>
      </c>
      <c r="N71" s="605">
        <f>N70+N61+N49</f>
        <v>384.4</v>
      </c>
      <c r="O71" s="467">
        <f>O70+O61+O49</f>
        <v>100.6</v>
      </c>
      <c r="P71" s="469">
        <f>P70+P61+P49</f>
        <v>57</v>
      </c>
      <c r="Q71" s="604">
        <f t="shared" si="26"/>
        <v>316.89999999999998</v>
      </c>
      <c r="R71" s="605">
        <f>R70+R61+R49</f>
        <v>316.89999999999998</v>
      </c>
      <c r="S71" s="467">
        <f>S70+S61+S49</f>
        <v>91.6</v>
      </c>
      <c r="T71" s="469">
        <f>T70+T61+T49</f>
        <v>0</v>
      </c>
      <c r="U71" s="604">
        <f t="shared" si="27"/>
        <v>254.9</v>
      </c>
      <c r="V71" s="605">
        <f>V70+V61+V49</f>
        <v>254.9</v>
      </c>
      <c r="W71" s="467">
        <f>W70+W61+W49</f>
        <v>91.6</v>
      </c>
      <c r="X71" s="469">
        <f>X70+X61+X49</f>
        <v>0</v>
      </c>
    </row>
    <row r="72" spans="1:25" s="537" customFormat="1" ht="15" customHeight="1" thickBot="1" x14ac:dyDescent="0.25">
      <c r="A72" s="607">
        <v>4</v>
      </c>
      <c r="B72" s="2717" t="s">
        <v>277</v>
      </c>
      <c r="C72" s="2550"/>
      <c r="D72" s="2550"/>
      <c r="E72" s="2550"/>
      <c r="F72" s="2550"/>
      <c r="G72" s="2550"/>
      <c r="H72" s="2550"/>
      <c r="I72" s="2550"/>
      <c r="J72" s="2550"/>
      <c r="K72" s="2550"/>
      <c r="L72" s="2550"/>
      <c r="M72" s="2550"/>
      <c r="N72" s="2550"/>
      <c r="O72" s="2550"/>
      <c r="P72" s="2550"/>
      <c r="Q72" s="2550"/>
      <c r="R72" s="2550"/>
      <c r="S72" s="2550"/>
      <c r="T72" s="2550"/>
      <c r="U72" s="2550"/>
      <c r="V72" s="2550"/>
      <c r="W72" s="2550"/>
      <c r="X72" s="2551"/>
    </row>
    <row r="73" spans="1:25" s="537" customFormat="1" ht="15" customHeight="1" thickBot="1" x14ac:dyDescent="0.25">
      <c r="A73" s="607">
        <v>4</v>
      </c>
      <c r="B73" s="608">
        <v>1</v>
      </c>
      <c r="C73" s="2552" t="s">
        <v>278</v>
      </c>
      <c r="D73" s="2553"/>
      <c r="E73" s="2553"/>
      <c r="F73" s="2553"/>
      <c r="G73" s="2553"/>
      <c r="H73" s="2553"/>
      <c r="I73" s="2553"/>
      <c r="J73" s="2553"/>
      <c r="K73" s="2553"/>
      <c r="L73" s="2553"/>
      <c r="M73" s="2553"/>
      <c r="N73" s="2553"/>
      <c r="O73" s="2553"/>
      <c r="P73" s="2553"/>
      <c r="Q73" s="2553"/>
      <c r="R73" s="2553"/>
      <c r="S73" s="2553"/>
      <c r="T73" s="2553"/>
      <c r="U73" s="2553"/>
      <c r="V73" s="2553"/>
      <c r="W73" s="2553"/>
      <c r="X73" s="2554"/>
    </row>
    <row r="74" spans="1:25" s="537" customFormat="1" ht="25.5" customHeight="1" x14ac:dyDescent="0.2">
      <c r="A74" s="2704">
        <v>4</v>
      </c>
      <c r="B74" s="2542">
        <v>1</v>
      </c>
      <c r="C74" s="2531">
        <v>1</v>
      </c>
      <c r="D74" s="2497" t="s">
        <v>279</v>
      </c>
      <c r="E74" s="2393">
        <v>2</v>
      </c>
      <c r="F74" s="2387" t="s">
        <v>280</v>
      </c>
      <c r="G74" s="2387" t="s">
        <v>281</v>
      </c>
      <c r="H74" s="407" t="s">
        <v>30</v>
      </c>
      <c r="I74" s="408">
        <f>L74</f>
        <v>0</v>
      </c>
      <c r="J74" s="349"/>
      <c r="K74" s="349"/>
      <c r="L74" s="350"/>
      <c r="M74" s="408">
        <f>N74+P74</f>
        <v>55</v>
      </c>
      <c r="N74" s="349"/>
      <c r="O74" s="349"/>
      <c r="P74" s="350">
        <v>55</v>
      </c>
      <c r="Q74" s="408">
        <f>R74+T74</f>
        <v>25</v>
      </c>
      <c r="R74" s="349"/>
      <c r="S74" s="349"/>
      <c r="T74" s="350">
        <v>25</v>
      </c>
      <c r="U74" s="408">
        <f>V74+X74</f>
        <v>5</v>
      </c>
      <c r="V74" s="349"/>
      <c r="W74" s="349"/>
      <c r="X74" s="350">
        <v>5</v>
      </c>
    </row>
    <row r="75" spans="1:25" s="537" customFormat="1" ht="26.45" customHeight="1" x14ac:dyDescent="0.2">
      <c r="A75" s="2704"/>
      <c r="B75" s="2542"/>
      <c r="C75" s="2531"/>
      <c r="D75" s="2497"/>
      <c r="E75" s="2394">
        <v>25</v>
      </c>
      <c r="F75" s="2394" t="s">
        <v>280</v>
      </c>
      <c r="G75" s="2394" t="s">
        <v>282</v>
      </c>
      <c r="H75" s="375" t="s">
        <v>30</v>
      </c>
      <c r="I75" s="2404">
        <v>4.0999999999999996</v>
      </c>
      <c r="J75" s="2380"/>
      <c r="K75" s="2380"/>
      <c r="L75" s="2381">
        <v>4.0999999999999996</v>
      </c>
      <c r="M75" s="2404"/>
      <c r="N75" s="2380"/>
      <c r="O75" s="2380"/>
      <c r="P75" s="2381"/>
      <c r="Q75" s="2404"/>
      <c r="R75" s="2380"/>
      <c r="S75" s="2380"/>
      <c r="T75" s="2381"/>
      <c r="U75" s="2404"/>
      <c r="V75" s="2380"/>
      <c r="W75" s="2380"/>
      <c r="X75" s="2381"/>
    </row>
    <row r="76" spans="1:25" s="537" customFormat="1" ht="25.5" customHeight="1" thickBot="1" x14ac:dyDescent="0.25">
      <c r="A76" s="2704"/>
      <c r="B76" s="2542"/>
      <c r="C76" s="2531"/>
      <c r="D76" s="2497"/>
      <c r="E76" s="2393">
        <v>26</v>
      </c>
      <c r="F76" s="2395" t="s">
        <v>280</v>
      </c>
      <c r="G76" s="2395" t="s">
        <v>283</v>
      </c>
      <c r="H76" s="609" t="s">
        <v>30</v>
      </c>
      <c r="I76" s="429">
        <f>J76+L76</f>
        <v>2.1</v>
      </c>
      <c r="J76" s="380"/>
      <c r="K76" s="380"/>
      <c r="L76" s="383">
        <v>2.1</v>
      </c>
      <c r="M76" s="429"/>
      <c r="N76" s="380"/>
      <c r="O76" s="380"/>
      <c r="P76" s="383"/>
      <c r="Q76" s="429"/>
      <c r="R76" s="380"/>
      <c r="S76" s="380"/>
      <c r="T76" s="383"/>
      <c r="U76" s="429"/>
      <c r="V76" s="380"/>
      <c r="W76" s="380"/>
      <c r="X76" s="383"/>
    </row>
    <row r="77" spans="1:25" s="537" customFormat="1" ht="26.45" customHeight="1" thickBot="1" x14ac:dyDescent="0.25">
      <c r="A77" s="2704"/>
      <c r="B77" s="2545"/>
      <c r="C77" s="2530"/>
      <c r="D77" s="2705"/>
      <c r="E77" s="2394"/>
      <c r="F77" s="2516" t="s">
        <v>35</v>
      </c>
      <c r="G77" s="2517"/>
      <c r="H77" s="2518"/>
      <c r="I77" s="374">
        <f>L77</f>
        <v>6.1999999999999993</v>
      </c>
      <c r="J77" s="360">
        <f>SUM(J74:J76)</f>
        <v>0</v>
      </c>
      <c r="K77" s="360">
        <f t="shared" ref="K77:L77" si="30">SUM(K74:K76)</f>
        <v>0</v>
      </c>
      <c r="L77" s="361">
        <f t="shared" si="30"/>
        <v>6.1999999999999993</v>
      </c>
      <c r="M77" s="374">
        <f>N77+P77</f>
        <v>55</v>
      </c>
      <c r="N77" s="360">
        <f>SUM(N74:N76)</f>
        <v>0</v>
      </c>
      <c r="O77" s="360">
        <f t="shared" ref="O77:P77" si="31">SUM(O74:O76)</f>
        <v>0</v>
      </c>
      <c r="P77" s="361">
        <f t="shared" si="31"/>
        <v>55</v>
      </c>
      <c r="Q77" s="374">
        <f>R77+T77</f>
        <v>25</v>
      </c>
      <c r="R77" s="360">
        <f>SUM(R74:R76)</f>
        <v>0</v>
      </c>
      <c r="S77" s="360">
        <f t="shared" ref="S77:T77" si="32">SUM(S74:S76)</f>
        <v>0</v>
      </c>
      <c r="T77" s="361">
        <f t="shared" si="32"/>
        <v>25</v>
      </c>
      <c r="U77" s="374">
        <f>V77+X77</f>
        <v>5</v>
      </c>
      <c r="V77" s="360">
        <f>SUM(V74:V76)</f>
        <v>0</v>
      </c>
      <c r="W77" s="360">
        <f t="shared" ref="W77:X77" si="33">SUM(W74:W76)</f>
        <v>0</v>
      </c>
      <c r="X77" s="361">
        <f t="shared" si="33"/>
        <v>5</v>
      </c>
    </row>
    <row r="78" spans="1:25" s="537" customFormat="1" ht="21.75" customHeight="1" thickBot="1" x14ac:dyDescent="0.25">
      <c r="A78" s="2704">
        <v>4</v>
      </c>
      <c r="B78" s="2545">
        <v>1</v>
      </c>
      <c r="C78" s="2530">
        <v>2</v>
      </c>
      <c r="D78" s="2465" t="s">
        <v>284</v>
      </c>
      <c r="E78" s="2710">
        <v>2</v>
      </c>
      <c r="F78" s="2387" t="s">
        <v>280</v>
      </c>
      <c r="G78" s="2387" t="s">
        <v>285</v>
      </c>
      <c r="H78" s="407" t="s">
        <v>30</v>
      </c>
      <c r="I78" s="2382">
        <f>SUM(J78,L78)</f>
        <v>1.5</v>
      </c>
      <c r="J78" s="2383"/>
      <c r="K78" s="2383"/>
      <c r="L78" s="2384">
        <v>1.5</v>
      </c>
      <c r="M78" s="2382">
        <f>N78+P78</f>
        <v>5</v>
      </c>
      <c r="N78" s="2383"/>
      <c r="O78" s="2383"/>
      <c r="P78" s="2384">
        <v>5</v>
      </c>
      <c r="Q78" s="2382">
        <f>R78+T78</f>
        <v>5</v>
      </c>
      <c r="R78" s="2383"/>
      <c r="S78" s="2383"/>
      <c r="T78" s="2384">
        <v>5</v>
      </c>
      <c r="U78" s="2382"/>
      <c r="V78" s="2383"/>
      <c r="W78" s="2383"/>
      <c r="X78" s="2384"/>
    </row>
    <row r="79" spans="1:25" s="537" customFormat="1" ht="13.5" customHeight="1" thickBot="1" x14ac:dyDescent="0.25">
      <c r="A79" s="2704"/>
      <c r="B79" s="2545"/>
      <c r="C79" s="2582"/>
      <c r="D79" s="2459"/>
      <c r="E79" s="2711"/>
      <c r="F79" s="2516" t="s">
        <v>35</v>
      </c>
      <c r="G79" s="2517"/>
      <c r="H79" s="2518"/>
      <c r="I79" s="359">
        <f>J79+L79</f>
        <v>1.5</v>
      </c>
      <c r="J79" s="360">
        <f>J78</f>
        <v>0</v>
      </c>
      <c r="K79" s="360">
        <f t="shared" ref="K79:L79" si="34">K78</f>
        <v>0</v>
      </c>
      <c r="L79" s="362">
        <f t="shared" si="34"/>
        <v>1.5</v>
      </c>
      <c r="M79" s="359">
        <f>N79+P79</f>
        <v>5</v>
      </c>
      <c r="N79" s="360">
        <f>N78</f>
        <v>0</v>
      </c>
      <c r="O79" s="360">
        <f t="shared" ref="O79:P79" si="35">O78</f>
        <v>0</v>
      </c>
      <c r="P79" s="361">
        <f t="shared" si="35"/>
        <v>5</v>
      </c>
      <c r="Q79" s="359">
        <f>R79+T79</f>
        <v>5</v>
      </c>
      <c r="R79" s="360">
        <f>R78</f>
        <v>0</v>
      </c>
      <c r="S79" s="360">
        <f t="shared" ref="S79:T79" si="36">S78</f>
        <v>0</v>
      </c>
      <c r="T79" s="361">
        <f t="shared" si="36"/>
        <v>5</v>
      </c>
      <c r="U79" s="359">
        <f>V79+X79</f>
        <v>0</v>
      </c>
      <c r="V79" s="360">
        <f>V78</f>
        <v>0</v>
      </c>
      <c r="W79" s="360">
        <f t="shared" ref="W79:X79" si="37">W78</f>
        <v>0</v>
      </c>
      <c r="X79" s="361">
        <f t="shared" si="37"/>
        <v>0</v>
      </c>
    </row>
    <row r="80" spans="1:25" s="537" customFormat="1" ht="12.75" customHeight="1" thickBot="1" x14ac:dyDescent="0.25">
      <c r="A80" s="2405">
        <v>4</v>
      </c>
      <c r="B80" s="610">
        <v>1</v>
      </c>
      <c r="C80" s="2587" t="s">
        <v>234</v>
      </c>
      <c r="D80" s="2588"/>
      <c r="E80" s="2588"/>
      <c r="F80" s="2588"/>
      <c r="G80" s="2588"/>
      <c r="H80" s="2589"/>
      <c r="I80" s="463">
        <f>L80+J80</f>
        <v>7.6999999999999993</v>
      </c>
      <c r="J80" s="463">
        <f t="shared" ref="J80:L80" si="38">SUM(J79,J77,)</f>
        <v>0</v>
      </c>
      <c r="K80" s="463">
        <f t="shared" si="38"/>
        <v>0</v>
      </c>
      <c r="L80" s="463">
        <f t="shared" si="38"/>
        <v>7.6999999999999993</v>
      </c>
      <c r="M80" s="463">
        <f>P80+N80</f>
        <v>60</v>
      </c>
      <c r="N80" s="463">
        <f t="shared" ref="N80:P80" si="39">SUM(N79,N77,)</f>
        <v>0</v>
      </c>
      <c r="O80" s="463">
        <f t="shared" si="39"/>
        <v>0</v>
      </c>
      <c r="P80" s="463">
        <f t="shared" si="39"/>
        <v>60</v>
      </c>
      <c r="Q80" s="463">
        <f>T80+R80</f>
        <v>30</v>
      </c>
      <c r="R80" s="463">
        <f t="shared" ref="R80:T80" si="40">SUM(R79,R77,)</f>
        <v>0</v>
      </c>
      <c r="S80" s="463">
        <f t="shared" si="40"/>
        <v>0</v>
      </c>
      <c r="T80" s="465">
        <f t="shared" si="40"/>
        <v>30</v>
      </c>
      <c r="U80" s="463">
        <f>X80+V80</f>
        <v>5</v>
      </c>
      <c r="V80" s="463">
        <f t="shared" ref="V80:X80" si="41">SUM(V79,V77,)</f>
        <v>0</v>
      </c>
      <c r="W80" s="463">
        <f t="shared" si="41"/>
        <v>0</v>
      </c>
      <c r="X80" s="465">
        <f t="shared" si="41"/>
        <v>5</v>
      </c>
    </row>
    <row r="81" spans="1:26" s="537" customFormat="1" ht="12.75" customHeight="1" thickBot="1" x14ac:dyDescent="0.25">
      <c r="A81" s="2399">
        <v>4</v>
      </c>
      <c r="B81" s="403">
        <v>2</v>
      </c>
      <c r="C81" s="2706" t="s">
        <v>286</v>
      </c>
      <c r="D81" s="2707"/>
      <c r="E81" s="2707"/>
      <c r="F81" s="2707"/>
      <c r="G81" s="2707"/>
      <c r="H81" s="2707"/>
      <c r="I81" s="2707"/>
      <c r="J81" s="2707"/>
      <c r="K81" s="2707"/>
      <c r="L81" s="2707"/>
      <c r="M81" s="2707"/>
      <c r="N81" s="2707"/>
      <c r="O81" s="2707"/>
      <c r="P81" s="2707"/>
      <c r="Q81" s="2707"/>
      <c r="R81" s="2707"/>
      <c r="S81" s="2707"/>
      <c r="T81" s="2707"/>
      <c r="U81" s="2707"/>
      <c r="V81" s="2707"/>
      <c r="W81" s="2707"/>
      <c r="X81" s="2708"/>
    </row>
    <row r="82" spans="1:26" s="537" customFormat="1" ht="15" customHeight="1" x14ac:dyDescent="0.2">
      <c r="A82" s="2704">
        <v>4</v>
      </c>
      <c r="B82" s="2545">
        <v>2</v>
      </c>
      <c r="C82" s="2531">
        <v>1</v>
      </c>
      <c r="D82" s="2497" t="s">
        <v>287</v>
      </c>
      <c r="E82" s="2388">
        <v>26</v>
      </c>
      <c r="F82" s="2501" t="s">
        <v>280</v>
      </c>
      <c r="G82" s="2501" t="s">
        <v>288</v>
      </c>
      <c r="H82" s="2393" t="s">
        <v>30</v>
      </c>
      <c r="I82" s="2385">
        <f>J82+L82</f>
        <v>8.1</v>
      </c>
      <c r="J82" s="2383"/>
      <c r="K82" s="2383"/>
      <c r="L82" s="2384">
        <f>8.5-0.4</f>
        <v>8.1</v>
      </c>
      <c r="M82" s="2385"/>
      <c r="N82" s="2383"/>
      <c r="O82" s="2383"/>
      <c r="P82" s="2384"/>
      <c r="Q82" s="2385"/>
      <c r="R82" s="2383"/>
      <c r="S82" s="2383"/>
      <c r="T82" s="2384"/>
      <c r="U82" s="2385"/>
      <c r="V82" s="2383"/>
      <c r="W82" s="2383"/>
      <c r="X82" s="2384"/>
    </row>
    <row r="83" spans="1:26" s="537" customFormat="1" ht="18" customHeight="1" thickBot="1" x14ac:dyDescent="0.25">
      <c r="A83" s="2704"/>
      <c r="B83" s="2545"/>
      <c r="C83" s="2531"/>
      <c r="D83" s="2497"/>
      <c r="E83" s="2388">
        <v>2</v>
      </c>
      <c r="F83" s="2502"/>
      <c r="G83" s="2502"/>
      <c r="H83" s="2393" t="s">
        <v>30</v>
      </c>
      <c r="I83" s="348">
        <f>J83+L83</f>
        <v>0</v>
      </c>
      <c r="J83" s="349"/>
      <c r="K83" s="349"/>
      <c r="L83" s="350">
        <v>0</v>
      </c>
      <c r="M83" s="348">
        <f>N83+P83</f>
        <v>50</v>
      </c>
      <c r="N83" s="349"/>
      <c r="O83" s="349"/>
      <c r="P83" s="350">
        <v>50</v>
      </c>
      <c r="Q83" s="348">
        <f>R83+T83</f>
        <v>90</v>
      </c>
      <c r="R83" s="349"/>
      <c r="S83" s="349"/>
      <c r="T83" s="350">
        <v>90</v>
      </c>
      <c r="U83" s="408">
        <f>V83+X83</f>
        <v>20</v>
      </c>
      <c r="V83" s="349"/>
      <c r="W83" s="349"/>
      <c r="X83" s="350">
        <v>20</v>
      </c>
    </row>
    <row r="84" spans="1:26" s="537" customFormat="1" ht="18" customHeight="1" thickBot="1" x14ac:dyDescent="0.25">
      <c r="A84" s="2704"/>
      <c r="B84" s="2545"/>
      <c r="C84" s="2530"/>
      <c r="D84" s="2705"/>
      <c r="E84" s="2393"/>
      <c r="F84" s="2578" t="s">
        <v>35</v>
      </c>
      <c r="G84" s="2579"/>
      <c r="H84" s="2580"/>
      <c r="I84" s="359">
        <f>J84+L84</f>
        <v>8.1</v>
      </c>
      <c r="J84" s="360"/>
      <c r="K84" s="360"/>
      <c r="L84" s="361">
        <f>L82+L83</f>
        <v>8.1</v>
      </c>
      <c r="M84" s="359">
        <f>N84+P84</f>
        <v>50</v>
      </c>
      <c r="N84" s="360"/>
      <c r="O84" s="360"/>
      <c r="P84" s="361">
        <f>P82+P83</f>
        <v>50</v>
      </c>
      <c r="Q84" s="359">
        <f>(Q83+T83)</f>
        <v>180</v>
      </c>
      <c r="R84" s="360"/>
      <c r="S84" s="360"/>
      <c r="T84" s="361">
        <f>T82+T83</f>
        <v>90</v>
      </c>
      <c r="U84" s="359">
        <f>V84+X84</f>
        <v>20</v>
      </c>
      <c r="V84" s="360">
        <f>V83</f>
        <v>0</v>
      </c>
      <c r="W84" s="360">
        <f t="shared" ref="W84:X84" si="42">W83</f>
        <v>0</v>
      </c>
      <c r="X84" s="361">
        <f t="shared" si="42"/>
        <v>20</v>
      </c>
    </row>
    <row r="85" spans="1:26" s="537" customFormat="1" ht="27" customHeight="1" thickBot="1" x14ac:dyDescent="0.25">
      <c r="A85" s="2704">
        <v>4</v>
      </c>
      <c r="B85" s="2545">
        <v>2</v>
      </c>
      <c r="C85" s="2531">
        <v>2</v>
      </c>
      <c r="D85" s="2497" t="s">
        <v>289</v>
      </c>
      <c r="E85" s="2500" t="s">
        <v>290</v>
      </c>
      <c r="F85" s="2386" t="s">
        <v>291</v>
      </c>
      <c r="G85" s="2386" t="s">
        <v>292</v>
      </c>
      <c r="H85" s="364" t="s">
        <v>30</v>
      </c>
      <c r="I85" s="412">
        <f>L85+J85</f>
        <v>102.2</v>
      </c>
      <c r="J85" s="413"/>
      <c r="K85" s="413"/>
      <c r="L85" s="425">
        <v>102.2</v>
      </c>
      <c r="M85" s="2385">
        <f>N85+P85</f>
        <v>458</v>
      </c>
      <c r="N85" s="2383"/>
      <c r="O85" s="2383"/>
      <c r="P85" s="2384">
        <v>458</v>
      </c>
      <c r="Q85" s="2385">
        <f>R85+T85</f>
        <v>247</v>
      </c>
      <c r="R85" s="2383"/>
      <c r="S85" s="2383"/>
      <c r="T85" s="2384">
        <f>187+60</f>
        <v>247</v>
      </c>
      <c r="U85" s="2385">
        <f t="shared" ref="U85" si="43">SUM(V85,X85)</f>
        <v>0</v>
      </c>
      <c r="V85" s="2383"/>
      <c r="W85" s="2383"/>
      <c r="X85" s="2384"/>
      <c r="Y85" s="2332"/>
      <c r="Z85" s="611"/>
    </row>
    <row r="86" spans="1:26" s="542" customFormat="1" ht="27" customHeight="1" thickBot="1" x14ac:dyDescent="0.25">
      <c r="A86" s="2704"/>
      <c r="B86" s="2545"/>
      <c r="C86" s="2530"/>
      <c r="D86" s="2705"/>
      <c r="E86" s="2532"/>
      <c r="F86" s="2583" t="s">
        <v>35</v>
      </c>
      <c r="G86" s="2584"/>
      <c r="H86" s="2546"/>
      <c r="I86" s="612">
        <f t="shared" ref="I86:I87" si="44">J86+L86</f>
        <v>102.2</v>
      </c>
      <c r="J86" s="360">
        <f t="shared" ref="J86:L86" si="45">SUM(J85)</f>
        <v>0</v>
      </c>
      <c r="K86" s="360">
        <f t="shared" si="45"/>
        <v>0</v>
      </c>
      <c r="L86" s="361">
        <f t="shared" si="45"/>
        <v>102.2</v>
      </c>
      <c r="M86" s="612">
        <f t="shared" ref="M86:M87" si="46">N86+P86</f>
        <v>458</v>
      </c>
      <c r="N86" s="360">
        <f t="shared" ref="N86:P86" si="47">SUM(N85)</f>
        <v>0</v>
      </c>
      <c r="O86" s="360">
        <f t="shared" si="47"/>
        <v>0</v>
      </c>
      <c r="P86" s="361">
        <f t="shared" si="47"/>
        <v>458</v>
      </c>
      <c r="Q86" s="612">
        <f t="shared" ref="Q86:Q87" si="48">R86+T86</f>
        <v>247</v>
      </c>
      <c r="R86" s="360">
        <f t="shared" ref="R86:T86" si="49">SUM(R85)</f>
        <v>0</v>
      </c>
      <c r="S86" s="360">
        <f t="shared" si="49"/>
        <v>0</v>
      </c>
      <c r="T86" s="361">
        <f t="shared" si="49"/>
        <v>247</v>
      </c>
      <c r="U86" s="612">
        <f t="shared" ref="U86" si="50">V86+X86</f>
        <v>0</v>
      </c>
      <c r="V86" s="360">
        <f t="shared" ref="V86:X86" si="51">SUM(V85)</f>
        <v>0</v>
      </c>
      <c r="W86" s="360">
        <f t="shared" si="51"/>
        <v>0</v>
      </c>
      <c r="X86" s="361">
        <f t="shared" si="51"/>
        <v>0</v>
      </c>
    </row>
    <row r="87" spans="1:26" s="537" customFormat="1" ht="13.5" customHeight="1" thickBot="1" x14ac:dyDescent="0.25">
      <c r="A87" s="2405">
        <v>4</v>
      </c>
      <c r="B87" s="472">
        <v>2</v>
      </c>
      <c r="C87" s="2701" t="s">
        <v>234</v>
      </c>
      <c r="D87" s="2702"/>
      <c r="E87" s="2702"/>
      <c r="F87" s="2702"/>
      <c r="G87" s="2702"/>
      <c r="H87" s="2703"/>
      <c r="I87" s="613">
        <f t="shared" si="44"/>
        <v>110.3</v>
      </c>
      <c r="J87" s="552">
        <f>J86+J84</f>
        <v>0</v>
      </c>
      <c r="K87" s="552">
        <f>K86+K84</f>
        <v>0</v>
      </c>
      <c r="L87" s="552">
        <f>L86+L84</f>
        <v>110.3</v>
      </c>
      <c r="M87" s="613">
        <f t="shared" si="46"/>
        <v>508</v>
      </c>
      <c r="N87" s="552">
        <f>N86+N84</f>
        <v>0</v>
      </c>
      <c r="O87" s="552">
        <f>O86+O84</f>
        <v>0</v>
      </c>
      <c r="P87" s="552">
        <f>P86+P84</f>
        <v>508</v>
      </c>
      <c r="Q87" s="613">
        <f t="shared" si="48"/>
        <v>337</v>
      </c>
      <c r="R87" s="552">
        <f>R86+R84</f>
        <v>0</v>
      </c>
      <c r="S87" s="552">
        <f>S86+S84</f>
        <v>0</v>
      </c>
      <c r="T87" s="552">
        <f>T86+T84</f>
        <v>337</v>
      </c>
      <c r="U87" s="613">
        <f>V87+X87</f>
        <v>20</v>
      </c>
      <c r="V87" s="552">
        <f>V86+V84</f>
        <v>0</v>
      </c>
      <c r="W87" s="552">
        <f>W86+W84</f>
        <v>0</v>
      </c>
      <c r="X87" s="553">
        <f>X86+X84</f>
        <v>20</v>
      </c>
    </row>
    <row r="88" spans="1:26" s="542" customFormat="1" ht="13.5" customHeight="1" thickBot="1" x14ac:dyDescent="0.25">
      <c r="A88" s="2399">
        <v>4</v>
      </c>
      <c r="B88" s="403">
        <v>3</v>
      </c>
      <c r="C88" s="2706" t="s">
        <v>293</v>
      </c>
      <c r="D88" s="2707"/>
      <c r="E88" s="2707"/>
      <c r="F88" s="2707"/>
      <c r="G88" s="2707"/>
      <c r="H88" s="2707"/>
      <c r="I88" s="2707"/>
      <c r="J88" s="2707"/>
      <c r="K88" s="2707"/>
      <c r="L88" s="2707"/>
      <c r="M88" s="2707"/>
      <c r="N88" s="2707"/>
      <c r="O88" s="2707"/>
      <c r="P88" s="2707"/>
      <c r="Q88" s="2707"/>
      <c r="R88" s="2707"/>
      <c r="S88" s="2707"/>
      <c r="T88" s="2707"/>
      <c r="U88" s="2707"/>
      <c r="V88" s="2707"/>
      <c r="W88" s="2707"/>
      <c r="X88" s="2708"/>
    </row>
    <row r="89" spans="1:26" s="537" customFormat="1" ht="38.25" customHeight="1" thickBot="1" x14ac:dyDescent="0.25">
      <c r="A89" s="2486">
        <v>4</v>
      </c>
      <c r="B89" s="2540">
        <v>3</v>
      </c>
      <c r="C89" s="2513">
        <v>1</v>
      </c>
      <c r="D89" s="2504" t="s">
        <v>294</v>
      </c>
      <c r="E89" s="2512">
        <v>2</v>
      </c>
      <c r="F89" s="2390" t="s">
        <v>280</v>
      </c>
      <c r="G89" s="2390" t="s">
        <v>295</v>
      </c>
      <c r="H89" s="559" t="s">
        <v>30</v>
      </c>
      <c r="I89" s="408">
        <f>J89+L89</f>
        <v>45</v>
      </c>
      <c r="J89" s="349">
        <v>45</v>
      </c>
      <c r="K89" s="349"/>
      <c r="L89" s="350"/>
      <c r="M89" s="2385">
        <f t="shared" ref="M89:M90" si="52">N89+P89</f>
        <v>30</v>
      </c>
      <c r="N89" s="2383">
        <v>30</v>
      </c>
      <c r="O89" s="2383"/>
      <c r="P89" s="2384"/>
      <c r="Q89" s="408"/>
      <c r="R89" s="349"/>
      <c r="S89" s="349"/>
      <c r="T89" s="350"/>
      <c r="U89" s="408"/>
      <c r="V89" s="349"/>
      <c r="W89" s="349"/>
      <c r="X89" s="350"/>
    </row>
    <row r="90" spans="1:26" s="537" customFormat="1" ht="38.25" customHeight="1" thickBot="1" x14ac:dyDescent="0.25">
      <c r="A90" s="2487"/>
      <c r="B90" s="2541"/>
      <c r="C90" s="2513"/>
      <c r="D90" s="2709"/>
      <c r="E90" s="2512"/>
      <c r="F90" s="2583" t="s">
        <v>35</v>
      </c>
      <c r="G90" s="2584"/>
      <c r="H90" s="2546"/>
      <c r="I90" s="359">
        <f>J90</f>
        <v>45</v>
      </c>
      <c r="J90" s="360">
        <f>J89</f>
        <v>45</v>
      </c>
      <c r="K90" s="360"/>
      <c r="L90" s="361"/>
      <c r="M90" s="359">
        <f t="shared" si="52"/>
        <v>30</v>
      </c>
      <c r="N90" s="360">
        <f>N89</f>
        <v>30</v>
      </c>
      <c r="O90" s="360">
        <f>O89</f>
        <v>0</v>
      </c>
      <c r="P90" s="361">
        <f>P89</f>
        <v>0</v>
      </c>
      <c r="Q90" s="359">
        <f>R90</f>
        <v>0</v>
      </c>
      <c r="R90" s="360">
        <f>R89</f>
        <v>0</v>
      </c>
      <c r="S90" s="360"/>
      <c r="T90" s="361"/>
      <c r="U90" s="359">
        <f>V90</f>
        <v>0</v>
      </c>
      <c r="V90" s="360">
        <f>V89</f>
        <v>0</v>
      </c>
      <c r="W90" s="360"/>
      <c r="X90" s="361"/>
    </row>
    <row r="91" spans="1:26" s="537" customFormat="1" ht="15" customHeight="1" thickBot="1" x14ac:dyDescent="0.25">
      <c r="A91" s="2405">
        <v>4</v>
      </c>
      <c r="B91" s="472">
        <v>3</v>
      </c>
      <c r="C91" s="2701" t="s">
        <v>234</v>
      </c>
      <c r="D91" s="2702"/>
      <c r="E91" s="2702"/>
      <c r="F91" s="2702"/>
      <c r="G91" s="2702"/>
      <c r="H91" s="2703"/>
      <c r="I91" s="462">
        <f t="shared" ref="I91:X91" si="53">I90</f>
        <v>45</v>
      </c>
      <c r="J91" s="463">
        <f t="shared" si="53"/>
        <v>45</v>
      </c>
      <c r="K91" s="463">
        <f t="shared" si="53"/>
        <v>0</v>
      </c>
      <c r="L91" s="465">
        <f t="shared" si="53"/>
        <v>0</v>
      </c>
      <c r="M91" s="462">
        <f t="shared" si="53"/>
        <v>30</v>
      </c>
      <c r="N91" s="463">
        <f t="shared" si="53"/>
        <v>30</v>
      </c>
      <c r="O91" s="463">
        <f t="shared" si="53"/>
        <v>0</v>
      </c>
      <c r="P91" s="465">
        <f t="shared" si="53"/>
        <v>0</v>
      </c>
      <c r="Q91" s="462">
        <f t="shared" si="53"/>
        <v>0</v>
      </c>
      <c r="R91" s="463">
        <f t="shared" si="53"/>
        <v>0</v>
      </c>
      <c r="S91" s="463">
        <f t="shared" si="53"/>
        <v>0</v>
      </c>
      <c r="T91" s="465">
        <f t="shared" si="53"/>
        <v>0</v>
      </c>
      <c r="U91" s="462">
        <f t="shared" si="53"/>
        <v>0</v>
      </c>
      <c r="V91" s="463">
        <f t="shared" si="53"/>
        <v>0</v>
      </c>
      <c r="W91" s="463">
        <f t="shared" si="53"/>
        <v>0</v>
      </c>
      <c r="X91" s="465">
        <f t="shared" si="53"/>
        <v>0</v>
      </c>
    </row>
    <row r="92" spans="1:26" s="537" customFormat="1" ht="12" customHeight="1" thickBot="1" x14ac:dyDescent="0.25">
      <c r="A92" s="2400">
        <v>4</v>
      </c>
      <c r="B92" s="597">
        <v>4</v>
      </c>
      <c r="C92" s="2552" t="s">
        <v>296</v>
      </c>
      <c r="D92" s="2553"/>
      <c r="E92" s="2553"/>
      <c r="F92" s="2553"/>
      <c r="G92" s="2553"/>
      <c r="H92" s="2553"/>
      <c r="I92" s="2553"/>
      <c r="J92" s="2553"/>
      <c r="K92" s="2553"/>
      <c r="L92" s="2553"/>
      <c r="M92" s="2553"/>
      <c r="N92" s="2553"/>
      <c r="O92" s="2553"/>
      <c r="P92" s="2553"/>
      <c r="Q92" s="2553"/>
      <c r="R92" s="2553"/>
      <c r="S92" s="2553"/>
      <c r="T92" s="2553"/>
      <c r="U92" s="2553"/>
      <c r="V92" s="2553"/>
      <c r="W92" s="2553"/>
      <c r="X92" s="2554"/>
    </row>
    <row r="93" spans="1:26" s="537" customFormat="1" ht="35.25" customHeight="1" x14ac:dyDescent="0.2">
      <c r="A93" s="2704">
        <v>4</v>
      </c>
      <c r="B93" s="2545">
        <v>4</v>
      </c>
      <c r="C93" s="2531">
        <v>1</v>
      </c>
      <c r="D93" s="2497" t="s">
        <v>297</v>
      </c>
      <c r="E93" s="2393">
        <v>2</v>
      </c>
      <c r="F93" s="2531" t="s">
        <v>280</v>
      </c>
      <c r="G93" s="2387" t="s">
        <v>298</v>
      </c>
      <c r="H93" s="407" t="s">
        <v>30</v>
      </c>
      <c r="I93" s="408">
        <f>L93</f>
        <v>0</v>
      </c>
      <c r="J93" s="349"/>
      <c r="K93" s="349"/>
      <c r="L93" s="350">
        <f>3-3</f>
        <v>0</v>
      </c>
      <c r="M93" s="408">
        <f>N93+P93</f>
        <v>35</v>
      </c>
      <c r="N93" s="349"/>
      <c r="O93" s="349"/>
      <c r="P93" s="350">
        <v>35</v>
      </c>
      <c r="Q93" s="408">
        <f>R93+T93</f>
        <v>40</v>
      </c>
      <c r="R93" s="349"/>
      <c r="S93" s="349"/>
      <c r="T93" s="350">
        <v>40</v>
      </c>
      <c r="U93" s="408">
        <f>X93</f>
        <v>20</v>
      </c>
      <c r="V93" s="349"/>
      <c r="W93" s="349"/>
      <c r="X93" s="350">
        <v>20</v>
      </c>
    </row>
    <row r="94" spans="1:26" s="537" customFormat="1" ht="35.25" customHeight="1" thickBot="1" x14ac:dyDescent="0.25">
      <c r="A94" s="2704"/>
      <c r="B94" s="2545"/>
      <c r="C94" s="2531"/>
      <c r="D94" s="2497"/>
      <c r="E94" s="2511">
        <v>29</v>
      </c>
      <c r="F94" s="2513"/>
      <c r="G94" s="2390" t="s">
        <v>299</v>
      </c>
      <c r="H94" s="609" t="s">
        <v>30</v>
      </c>
      <c r="I94" s="2404"/>
      <c r="J94" s="2380"/>
      <c r="K94" s="2380"/>
      <c r="L94" s="2381"/>
      <c r="M94" s="2404">
        <f>N94+P94</f>
        <v>12</v>
      </c>
      <c r="N94" s="2380"/>
      <c r="O94" s="2380"/>
      <c r="P94" s="2381">
        <v>12</v>
      </c>
      <c r="Q94" s="2404"/>
      <c r="R94" s="2380"/>
      <c r="S94" s="2380"/>
      <c r="T94" s="2381"/>
      <c r="U94" s="2404"/>
      <c r="V94" s="2380"/>
      <c r="W94" s="2380"/>
      <c r="X94" s="2381"/>
    </row>
    <row r="95" spans="1:26" s="537" customFormat="1" ht="20.45" customHeight="1" thickBot="1" x14ac:dyDescent="0.25">
      <c r="A95" s="2704"/>
      <c r="B95" s="2545"/>
      <c r="C95" s="2530"/>
      <c r="D95" s="2705"/>
      <c r="E95" s="2523"/>
      <c r="F95" s="2516" t="s">
        <v>35</v>
      </c>
      <c r="G95" s="2517"/>
      <c r="H95" s="2518"/>
      <c r="I95" s="374">
        <f>SUM(J95+L95)</f>
        <v>0</v>
      </c>
      <c r="J95" s="360">
        <f>SUM(J93)</f>
        <v>0</v>
      </c>
      <c r="K95" s="360">
        <f>SUM(K93)</f>
        <v>0</v>
      </c>
      <c r="L95" s="361">
        <f>SUM(L93:L94)</f>
        <v>0</v>
      </c>
      <c r="M95" s="374">
        <f>SUM(N95+P95)</f>
        <v>47</v>
      </c>
      <c r="N95" s="360">
        <f>SUM(N93)</f>
        <v>0</v>
      </c>
      <c r="O95" s="360">
        <f>SUM(O93)</f>
        <v>0</v>
      </c>
      <c r="P95" s="361">
        <f>SUM(P93:P94)</f>
        <v>47</v>
      </c>
      <c r="Q95" s="374">
        <f>SUM(R95+T95)</f>
        <v>40</v>
      </c>
      <c r="R95" s="360">
        <f>SUM(R93)</f>
        <v>0</v>
      </c>
      <c r="S95" s="360">
        <f>SUM(S93)</f>
        <v>0</v>
      </c>
      <c r="T95" s="361">
        <f>SUM(T93:T94)</f>
        <v>40</v>
      </c>
      <c r="U95" s="374">
        <f>SUM(V95+X95)</f>
        <v>20</v>
      </c>
      <c r="V95" s="360">
        <f>SUM(V93)</f>
        <v>0</v>
      </c>
      <c r="W95" s="360">
        <f>SUM(W93)</f>
        <v>0</v>
      </c>
      <c r="X95" s="361">
        <f>SUM(X93:X94)</f>
        <v>20</v>
      </c>
    </row>
    <row r="96" spans="1:26" s="537" customFormat="1" ht="35.25" customHeight="1" thickBot="1" x14ac:dyDescent="0.25">
      <c r="A96" s="2704">
        <v>4</v>
      </c>
      <c r="B96" s="2545">
        <v>4</v>
      </c>
      <c r="C96" s="2531">
        <v>2</v>
      </c>
      <c r="D96" s="2497" t="s">
        <v>1352</v>
      </c>
      <c r="E96" s="2511">
        <v>9</v>
      </c>
      <c r="F96" s="2387" t="s">
        <v>280</v>
      </c>
      <c r="G96" s="2387"/>
      <c r="H96" s="407" t="s">
        <v>33</v>
      </c>
      <c r="I96" s="408">
        <f>L96</f>
        <v>0</v>
      </c>
      <c r="J96" s="349"/>
      <c r="K96" s="349"/>
      <c r="L96" s="350">
        <f>3-3</f>
        <v>0</v>
      </c>
      <c r="M96" s="408">
        <f>N96+P96</f>
        <v>0</v>
      </c>
      <c r="N96" s="349"/>
      <c r="O96" s="349"/>
      <c r="P96" s="350"/>
      <c r="Q96" s="408">
        <f>R96+T96</f>
        <v>3000</v>
      </c>
      <c r="R96" s="349"/>
      <c r="S96" s="349"/>
      <c r="T96" s="350">
        <v>3000</v>
      </c>
      <c r="U96" s="408">
        <f>X96</f>
        <v>0</v>
      </c>
      <c r="V96" s="349"/>
      <c r="W96" s="349"/>
      <c r="X96" s="350"/>
    </row>
    <row r="97" spans="1:36" s="537" customFormat="1" ht="20.45" customHeight="1" thickBot="1" x14ac:dyDescent="0.25">
      <c r="A97" s="2704"/>
      <c r="B97" s="2545"/>
      <c r="C97" s="2530"/>
      <c r="D97" s="2705"/>
      <c r="E97" s="2744"/>
      <c r="F97" s="2516" t="s">
        <v>35</v>
      </c>
      <c r="G97" s="2517"/>
      <c r="H97" s="2518"/>
      <c r="I97" s="374">
        <f>SUM(J97+L97)</f>
        <v>0</v>
      </c>
      <c r="J97" s="360">
        <f>SUM(J96)</f>
        <v>0</v>
      </c>
      <c r="K97" s="360">
        <f>SUM(K96)</f>
        <v>0</v>
      </c>
      <c r="L97" s="361">
        <f>SUM(L96:L96)</f>
        <v>0</v>
      </c>
      <c r="M97" s="374">
        <f>SUM(N97+P97)</f>
        <v>0</v>
      </c>
      <c r="N97" s="360">
        <f>SUM(N96)</f>
        <v>0</v>
      </c>
      <c r="O97" s="360">
        <f>SUM(O96)</f>
        <v>0</v>
      </c>
      <c r="P97" s="361">
        <f>SUM(P96:P96)</f>
        <v>0</v>
      </c>
      <c r="Q97" s="374">
        <f>SUM(R97+T97)</f>
        <v>3000</v>
      </c>
      <c r="R97" s="360">
        <f>SUM(R96)</f>
        <v>0</v>
      </c>
      <c r="S97" s="360">
        <f>SUM(S96)</f>
        <v>0</v>
      </c>
      <c r="T97" s="361">
        <v>3000</v>
      </c>
      <c r="U97" s="374">
        <f>SUM(V97+X97)</f>
        <v>0</v>
      </c>
      <c r="V97" s="360">
        <f>SUM(V96)</f>
        <v>0</v>
      </c>
      <c r="W97" s="360">
        <f>SUM(W96)</f>
        <v>0</v>
      </c>
      <c r="X97" s="361"/>
    </row>
    <row r="98" spans="1:36" s="537" customFormat="1" ht="12" customHeight="1" thickBot="1" x14ac:dyDescent="0.25">
      <c r="A98" s="614">
        <v>4</v>
      </c>
      <c r="B98" s="461">
        <v>4</v>
      </c>
      <c r="C98" s="2475" t="s">
        <v>234</v>
      </c>
      <c r="D98" s="2476"/>
      <c r="E98" s="2476"/>
      <c r="F98" s="2476"/>
      <c r="G98" s="2476"/>
      <c r="H98" s="2477"/>
      <c r="I98" s="600">
        <f t="shared" ref="I98" si="54">SUM(J98+L98)</f>
        <v>0</v>
      </c>
      <c r="J98" s="463">
        <f>+J95+J97</f>
        <v>0</v>
      </c>
      <c r="K98" s="463">
        <f t="shared" ref="K98:L98" si="55">+K95+K97</f>
        <v>0</v>
      </c>
      <c r="L98" s="463">
        <f t="shared" si="55"/>
        <v>0</v>
      </c>
      <c r="M98" s="600">
        <f t="shared" ref="M98" si="56">SUM(N98+P98)</f>
        <v>47</v>
      </c>
      <c r="N98" s="463">
        <f>+N95+N97</f>
        <v>0</v>
      </c>
      <c r="O98" s="463">
        <f t="shared" ref="O98" si="57">+O95+O97</f>
        <v>0</v>
      </c>
      <c r="P98" s="463">
        <f t="shared" ref="P98" si="58">+P95+P97</f>
        <v>47</v>
      </c>
      <c r="Q98" s="600">
        <f t="shared" ref="Q98" si="59">SUM(R98+T98)</f>
        <v>3040</v>
      </c>
      <c r="R98" s="463">
        <f>+R95+R97</f>
        <v>0</v>
      </c>
      <c r="S98" s="463">
        <f t="shared" ref="S98" si="60">+S95+S97</f>
        <v>0</v>
      </c>
      <c r="T98" s="463">
        <f t="shared" ref="T98" si="61">+T95+T97</f>
        <v>3040</v>
      </c>
      <c r="U98" s="600">
        <f t="shared" ref="U98" si="62">SUM(V98+X98)</f>
        <v>20</v>
      </c>
      <c r="V98" s="463">
        <f>+V95+V97</f>
        <v>0</v>
      </c>
      <c r="W98" s="463">
        <f t="shared" ref="W98" si="63">+W95+W97</f>
        <v>0</v>
      </c>
      <c r="X98" s="465">
        <f t="shared" ref="X98" si="64">+X95+X97</f>
        <v>20</v>
      </c>
    </row>
    <row r="99" spans="1:36" s="537" customFormat="1" ht="12" customHeight="1" thickBot="1" x14ac:dyDescent="0.25">
      <c r="A99" s="614">
        <v>4</v>
      </c>
      <c r="B99" s="2478" t="s">
        <v>167</v>
      </c>
      <c r="C99" s="2479"/>
      <c r="D99" s="2479"/>
      <c r="E99" s="2479"/>
      <c r="F99" s="2479"/>
      <c r="G99" s="2479"/>
      <c r="H99" s="2479"/>
      <c r="I99" s="509">
        <f>J99+L99</f>
        <v>163</v>
      </c>
      <c r="J99" s="510">
        <f>J98+J91+J87+J80</f>
        <v>45</v>
      </c>
      <c r="K99" s="510">
        <f t="shared" ref="K99:L99" si="65">K98+K91+K87+K80</f>
        <v>0</v>
      </c>
      <c r="L99" s="510">
        <f t="shared" si="65"/>
        <v>118</v>
      </c>
      <c r="M99" s="509">
        <f>N99+P99</f>
        <v>645</v>
      </c>
      <c r="N99" s="510">
        <f>N98+N91+N87+N80</f>
        <v>30</v>
      </c>
      <c r="O99" s="510">
        <f t="shared" ref="O99" si="66">O98+O91+O87+O80</f>
        <v>0</v>
      </c>
      <c r="P99" s="510">
        <f t="shared" ref="P99" si="67">P98+P91+P87+P80</f>
        <v>615</v>
      </c>
      <c r="Q99" s="509">
        <f>R99+T99</f>
        <v>3407</v>
      </c>
      <c r="R99" s="510">
        <f>R98+R91+R87+R80</f>
        <v>0</v>
      </c>
      <c r="S99" s="510">
        <f t="shared" ref="S99" si="68">S98+S91+S87+S80</f>
        <v>0</v>
      </c>
      <c r="T99" s="510">
        <f t="shared" ref="T99" si="69">T98+T91+T87+T80</f>
        <v>3407</v>
      </c>
      <c r="U99" s="509">
        <f>V99+X99</f>
        <v>45</v>
      </c>
      <c r="V99" s="510">
        <f>V98+V91+V87+V80</f>
        <v>0</v>
      </c>
      <c r="W99" s="510">
        <f t="shared" ref="W99" si="70">W98+W91+W87+W80</f>
        <v>0</v>
      </c>
      <c r="X99" s="468">
        <f t="shared" ref="X99" si="71">X98+X91+X87+X80</f>
        <v>45</v>
      </c>
      <c r="Y99" s="2331"/>
    </row>
    <row r="100" spans="1:36" s="537" customFormat="1" ht="12" customHeight="1" thickBot="1" x14ac:dyDescent="0.25">
      <c r="A100" s="2695" t="s">
        <v>208</v>
      </c>
      <c r="B100" s="2696"/>
      <c r="C100" s="2696"/>
      <c r="D100" s="2696"/>
      <c r="E100" s="2696"/>
      <c r="F100" s="2696"/>
      <c r="G100" s="2696"/>
      <c r="H100" s="2697"/>
      <c r="I100" s="615">
        <f t="shared" ref="I100:I109" si="72">J100+L100</f>
        <v>1341.4</v>
      </c>
      <c r="J100" s="616">
        <f>SUM(J17,J42,J71,J99)</f>
        <v>772.3</v>
      </c>
      <c r="K100" s="616">
        <f>SUM(K17,K42,K71,K99)</f>
        <v>88.199999999999989</v>
      </c>
      <c r="L100" s="617">
        <f>SUM(L17,L42,L71,L99)</f>
        <v>569.10000000000014</v>
      </c>
      <c r="M100" s="615">
        <f t="shared" ref="M100:M109" si="73">N100+P100</f>
        <v>2252.6999999999998</v>
      </c>
      <c r="N100" s="616">
        <f>SUM(N17,N42,N71,N99)</f>
        <v>929.4</v>
      </c>
      <c r="O100" s="616">
        <f>SUM(O17,O42,O71,O99)</f>
        <v>100.6</v>
      </c>
      <c r="P100" s="617">
        <f>SUM(P17,P42,P71,P99)</f>
        <v>1323.3</v>
      </c>
      <c r="Q100" s="615">
        <f t="shared" ref="Q100:Q103" si="74">R100+T100</f>
        <v>4241.8999999999996</v>
      </c>
      <c r="R100" s="616">
        <f>SUM(R17,R42,R71,R99)</f>
        <v>834.9</v>
      </c>
      <c r="S100" s="616">
        <f>SUM(S17,S42,S71,S99)</f>
        <v>91.6</v>
      </c>
      <c r="T100" s="617">
        <f>SUM(T17,T42,T71,T99)</f>
        <v>3407</v>
      </c>
      <c r="U100" s="615">
        <f t="shared" ref="U100:U105" si="75">V100+X100</f>
        <v>817.9</v>
      </c>
      <c r="V100" s="616">
        <f>SUM(V17,V42,V71,V99)</f>
        <v>772.9</v>
      </c>
      <c r="W100" s="616">
        <f>SUM(W17,W42,W71,W99)</f>
        <v>91.6</v>
      </c>
      <c r="X100" s="617">
        <f>SUM(X17,X42,X71,X99)</f>
        <v>45</v>
      </c>
      <c r="Y100" s="618"/>
      <c r="Z100" s="618"/>
      <c r="AA100" s="618"/>
      <c r="AB100" s="618"/>
      <c r="AC100" s="618"/>
      <c r="AD100" s="618"/>
      <c r="AE100" s="618"/>
      <c r="AF100" s="618"/>
      <c r="AG100" s="618"/>
      <c r="AH100" s="618"/>
      <c r="AI100" s="618"/>
      <c r="AJ100" s="618"/>
    </row>
    <row r="101" spans="1:36" s="537" customFormat="1" ht="13.5" customHeight="1" x14ac:dyDescent="0.2">
      <c r="A101" s="2698" t="s">
        <v>209</v>
      </c>
      <c r="B101" s="2699"/>
      <c r="C101" s="2699"/>
      <c r="D101" s="2699"/>
      <c r="E101" s="2699"/>
      <c r="F101" s="2699"/>
      <c r="G101" s="2699"/>
      <c r="H101" s="2700"/>
      <c r="I101" s="619">
        <f t="shared" si="72"/>
        <v>446.6</v>
      </c>
      <c r="J101" s="516">
        <f>+J93+J89+J85+J83+J82+J78+J76+J75+J74+J68+J66+J63+J57+J53+J51+J45+J31+J25+J14+J12+J94+J22</f>
        <v>209.9</v>
      </c>
      <c r="K101" s="516">
        <f>+K93+K89+K85+K83+K82+K78+K76+K75+K74+K68+K66+K63+K57+K53+K51+K45+K31+K25+K14+K12+K94+K22</f>
        <v>78.8</v>
      </c>
      <c r="L101" s="516">
        <f>+L93+L89+L85+L83+L82+L78+L76+L75+L74+L68+L66+L63+L57+L53+L51+L45+L31+L25+L14+L12+L94+L22</f>
        <v>236.7</v>
      </c>
      <c r="M101" s="619">
        <f t="shared" si="73"/>
        <v>1310.9</v>
      </c>
      <c r="N101" s="516">
        <f>+N93+N89+N85+N83+N82+N78+N76+N75+N74+N68+N66+N63+N57+N53+N51+N45+N31+N25+N14+N12+N94+N22</f>
        <v>355.4</v>
      </c>
      <c r="O101" s="516">
        <f>+O93+O89+O85+O83+O82+O78+O76+O75+O74+O68+O66+O63+O57+O53+O51+O45+O31+O25+O14+O12+O94+O22</f>
        <v>87</v>
      </c>
      <c r="P101" s="516">
        <f>+P93+P89+P85+P83+P82+P78+P76+P75+P74+P68+P66+P63+P57+P53+P51+P45+P31+P25+P14+P12+P94+P22</f>
        <v>955.5</v>
      </c>
      <c r="Q101" s="619">
        <f t="shared" si="74"/>
        <v>683.9</v>
      </c>
      <c r="R101" s="516">
        <f>+R93+R89+R85+R83+R82+R78+R76+R75+R74+R68+R66+R63+R57+R53+R51+R45+R31+R25+R14+R12+R94+R22</f>
        <v>276.89999999999998</v>
      </c>
      <c r="S101" s="516">
        <f>+S93+S89+S85+S83+S82+S78+S76+S75+S74+S68+S66+S63+S57+S53+S51+S45+S31+S25+S14+S12+S94+S22</f>
        <v>86.6</v>
      </c>
      <c r="T101" s="516">
        <f>+T93+T89+T85+T83+T82+T78+T76+T75+T74+T68+T66+T63+T57+T53+T51+T45+T31+T25+T14+T12+T94+T22</f>
        <v>407</v>
      </c>
      <c r="U101" s="619">
        <f t="shared" si="75"/>
        <v>259.89999999999998</v>
      </c>
      <c r="V101" s="516">
        <f>+V93+V89+V85+V83+V82+V78+V76+V75+V74+V68+V66+V63+V57+V53+V51+V45+V31+V25+V14+V12+V94+V22</f>
        <v>214.9</v>
      </c>
      <c r="W101" s="516">
        <f>+W93+W89+W85+W83+W82+W78+W76+W75+W74+W68+W66+W63+W57+W53+W51+W45+W31+W25+W14+W12+W94+W22</f>
        <v>86.6</v>
      </c>
      <c r="X101" s="2338">
        <f>+X93+X89+X85+X83+X82+X78+X76+X75+X74+X68+X66+X63+X57+X53+X51+X45+X31+X25+X14+X12+X94+X22</f>
        <v>45</v>
      </c>
      <c r="Y101" s="618"/>
      <c r="Z101" s="618"/>
      <c r="AA101" s="618"/>
      <c r="AB101" s="618"/>
      <c r="AC101" s="618"/>
      <c r="AD101" s="618"/>
      <c r="AE101" s="618"/>
      <c r="AF101" s="618"/>
      <c r="AG101" s="618"/>
      <c r="AH101" s="618"/>
      <c r="AI101" s="618"/>
      <c r="AJ101" s="618"/>
    </row>
    <row r="102" spans="1:36" s="537" customFormat="1" ht="13.5" customHeight="1" x14ac:dyDescent="0.2">
      <c r="A102" s="2467" t="s">
        <v>215</v>
      </c>
      <c r="B102" s="2468"/>
      <c r="C102" s="2468"/>
      <c r="D102" s="2468"/>
      <c r="E102" s="2468"/>
      <c r="F102" s="2468"/>
      <c r="G102" s="2468"/>
      <c r="H102" s="2469"/>
      <c r="I102" s="620">
        <f t="shared" si="72"/>
        <v>85</v>
      </c>
      <c r="J102" s="521">
        <f>J47</f>
        <v>85</v>
      </c>
      <c r="K102" s="521">
        <f>K47</f>
        <v>5</v>
      </c>
      <c r="L102" s="621">
        <f>L47</f>
        <v>0</v>
      </c>
      <c r="M102" s="620">
        <f t="shared" si="73"/>
        <v>100</v>
      </c>
      <c r="N102" s="521">
        <f>N47</f>
        <v>100</v>
      </c>
      <c r="O102" s="521">
        <f>O47</f>
        <v>5</v>
      </c>
      <c r="P102" s="622">
        <f>P47</f>
        <v>0</v>
      </c>
      <c r="Q102" s="620">
        <f t="shared" si="74"/>
        <v>100</v>
      </c>
      <c r="R102" s="521">
        <f>R47</f>
        <v>100</v>
      </c>
      <c r="S102" s="521">
        <f>S47</f>
        <v>5</v>
      </c>
      <c r="T102" s="522">
        <f>T47</f>
        <v>0</v>
      </c>
      <c r="U102" s="620">
        <f t="shared" si="75"/>
        <v>100</v>
      </c>
      <c r="V102" s="521">
        <f>V47</f>
        <v>100</v>
      </c>
      <c r="W102" s="521">
        <f>W47</f>
        <v>5</v>
      </c>
      <c r="X102" s="522">
        <f>X47</f>
        <v>0</v>
      </c>
      <c r="Y102" s="618"/>
      <c r="Z102" s="618"/>
      <c r="AA102" s="618"/>
      <c r="AB102" s="618"/>
      <c r="AC102" s="618"/>
      <c r="AD102" s="618"/>
      <c r="AE102" s="618"/>
      <c r="AF102" s="618"/>
      <c r="AG102" s="618"/>
      <c r="AH102" s="618"/>
      <c r="AI102" s="618"/>
      <c r="AJ102" s="618"/>
    </row>
    <row r="103" spans="1:36" s="537" customFormat="1" ht="13.5" customHeight="1" x14ac:dyDescent="0.2">
      <c r="A103" s="2467" t="s">
        <v>210</v>
      </c>
      <c r="B103" s="2468"/>
      <c r="C103" s="2468"/>
      <c r="D103" s="2468"/>
      <c r="E103" s="2468"/>
      <c r="F103" s="2468"/>
      <c r="G103" s="2468"/>
      <c r="H103" s="2469"/>
      <c r="I103" s="620">
        <f t="shared" si="72"/>
        <v>456</v>
      </c>
      <c r="J103" s="521">
        <f>J20+J35+J37+J39+J96+J46</f>
        <v>456</v>
      </c>
      <c r="K103" s="521">
        <f t="shared" ref="K103:L103" si="76">K20+K35+K37+K39+K96+K46</f>
        <v>0</v>
      </c>
      <c r="L103" s="521">
        <f t="shared" si="76"/>
        <v>0</v>
      </c>
      <c r="M103" s="620">
        <f t="shared" si="73"/>
        <v>458</v>
      </c>
      <c r="N103" s="521">
        <f>N20+N35+N37+N39+N96+N46</f>
        <v>458</v>
      </c>
      <c r="O103" s="521">
        <f t="shared" ref="O103:P103" si="77">O20+O35+O37+O39+O96+O46</f>
        <v>3</v>
      </c>
      <c r="P103" s="521">
        <f t="shared" si="77"/>
        <v>0</v>
      </c>
      <c r="Q103" s="620">
        <f t="shared" si="74"/>
        <v>3458</v>
      </c>
      <c r="R103" s="521">
        <f>R20+R35+R37+R39+R96+R46</f>
        <v>458</v>
      </c>
      <c r="S103" s="521">
        <f t="shared" ref="S103:T103" si="78">S20+S35+S37+S39+S96+S46</f>
        <v>0</v>
      </c>
      <c r="T103" s="521">
        <f t="shared" si="78"/>
        <v>3000</v>
      </c>
      <c r="U103" s="620">
        <f t="shared" si="75"/>
        <v>458</v>
      </c>
      <c r="V103" s="521">
        <f>V20+V35+V37+V39+V96+V46</f>
        <v>458</v>
      </c>
      <c r="W103" s="521">
        <f t="shared" ref="W103:X103" si="79">W20+W35+W37+W39+W96+W46</f>
        <v>0</v>
      </c>
      <c r="X103" s="522">
        <f t="shared" si="79"/>
        <v>0</v>
      </c>
      <c r="Y103" s="618"/>
      <c r="Z103" s="618"/>
      <c r="AA103" s="618"/>
      <c r="AB103" s="618"/>
      <c r="AC103" s="618"/>
      <c r="AD103" s="618"/>
      <c r="AE103" s="618"/>
      <c r="AF103" s="618"/>
      <c r="AG103" s="618"/>
      <c r="AH103" s="618"/>
      <c r="AI103" s="618"/>
      <c r="AJ103" s="618"/>
    </row>
    <row r="104" spans="1:36" s="537" customFormat="1" ht="13.5" customHeight="1" x14ac:dyDescent="0.2">
      <c r="A104" s="2467" t="s">
        <v>216</v>
      </c>
      <c r="B104" s="2468"/>
      <c r="C104" s="2468"/>
      <c r="D104" s="2468"/>
      <c r="E104" s="2468"/>
      <c r="F104" s="2468"/>
      <c r="G104" s="2468"/>
      <c r="H104" s="2469"/>
      <c r="I104" s="620"/>
      <c r="J104" s="521"/>
      <c r="K104" s="521"/>
      <c r="L104" s="621"/>
      <c r="M104" s="620"/>
      <c r="N104" s="521"/>
      <c r="O104" s="521"/>
      <c r="P104" s="623"/>
      <c r="Q104" s="620"/>
      <c r="R104" s="521"/>
      <c r="S104" s="521"/>
      <c r="T104" s="522"/>
      <c r="U104" s="620"/>
      <c r="V104" s="521"/>
      <c r="W104" s="521"/>
      <c r="X104" s="522"/>
      <c r="Y104" s="618"/>
      <c r="Z104" s="618"/>
      <c r="AA104" s="618"/>
      <c r="AB104" s="618"/>
      <c r="AC104" s="618"/>
      <c r="AD104" s="618"/>
      <c r="AE104" s="618"/>
      <c r="AF104" s="618"/>
      <c r="AG104" s="618"/>
      <c r="AH104" s="618"/>
      <c r="AI104" s="618"/>
      <c r="AJ104" s="618"/>
    </row>
    <row r="105" spans="1:36" s="339" customFormat="1" ht="13.5" customHeight="1" x14ac:dyDescent="0.2">
      <c r="A105" s="2467" t="s">
        <v>300</v>
      </c>
      <c r="B105" s="2468"/>
      <c r="C105" s="2468"/>
      <c r="D105" s="2468"/>
      <c r="E105" s="2468"/>
      <c r="F105" s="2468"/>
      <c r="G105" s="2468"/>
      <c r="H105" s="2469"/>
      <c r="I105" s="620">
        <f t="shared" si="72"/>
        <v>81.5</v>
      </c>
      <c r="J105" s="521">
        <f>J64+J58+J26</f>
        <v>18.600000000000001</v>
      </c>
      <c r="K105" s="521">
        <f>K64+K58+K26</f>
        <v>4.4000000000000004</v>
      </c>
      <c r="L105" s="521">
        <f>L64+L58+L26</f>
        <v>62.9</v>
      </c>
      <c r="M105" s="620">
        <f t="shared" si="73"/>
        <v>243.4</v>
      </c>
      <c r="N105" s="521">
        <f>N64+N58+N26</f>
        <v>16</v>
      </c>
      <c r="O105" s="521">
        <f>O64+O58+O26</f>
        <v>5.6</v>
      </c>
      <c r="P105" s="521">
        <f>P64+P58+P26</f>
        <v>227.4</v>
      </c>
      <c r="Q105" s="620">
        <f t="shared" ref="Q105" si="80">R105+T105</f>
        <v>0</v>
      </c>
      <c r="R105" s="521">
        <f>R64+R58+R26</f>
        <v>0</v>
      </c>
      <c r="S105" s="521">
        <f>S64+S58+S26</f>
        <v>0</v>
      </c>
      <c r="T105" s="522">
        <f>T64+T58+T26</f>
        <v>0</v>
      </c>
      <c r="U105" s="620">
        <f t="shared" si="75"/>
        <v>0</v>
      </c>
      <c r="V105" s="521">
        <f>V64+V58+V26</f>
        <v>0</v>
      </c>
      <c r="W105" s="521">
        <f>W64+W58+W26</f>
        <v>0</v>
      </c>
      <c r="X105" s="522">
        <f>X64+X58+X26</f>
        <v>0</v>
      </c>
      <c r="Y105" s="618"/>
      <c r="Z105" s="618"/>
      <c r="AA105" s="618"/>
      <c r="AB105" s="618"/>
      <c r="AC105" s="618"/>
      <c r="AD105" s="618"/>
      <c r="AE105" s="618"/>
      <c r="AF105" s="618"/>
      <c r="AG105" s="618"/>
      <c r="AH105" s="618"/>
      <c r="AI105" s="618"/>
      <c r="AJ105" s="618"/>
    </row>
    <row r="106" spans="1:36" s="339" customFormat="1" ht="13.5" customHeight="1" x14ac:dyDescent="0.2">
      <c r="A106" s="2467" t="s">
        <v>301</v>
      </c>
      <c r="B106" s="2468"/>
      <c r="C106" s="2468"/>
      <c r="D106" s="2468"/>
      <c r="E106" s="2468"/>
      <c r="F106" s="2468"/>
      <c r="G106" s="2468"/>
      <c r="H106" s="2469"/>
      <c r="I106" s="620">
        <f>J106+L106</f>
        <v>258.3</v>
      </c>
      <c r="J106" s="521">
        <f>J30</f>
        <v>0</v>
      </c>
      <c r="K106" s="521">
        <f>K30</f>
        <v>0</v>
      </c>
      <c r="L106" s="621">
        <f>L30</f>
        <v>258.3</v>
      </c>
      <c r="M106" s="620">
        <f>N106+P106</f>
        <v>70</v>
      </c>
      <c r="N106" s="521">
        <f>N30</f>
        <v>0</v>
      </c>
      <c r="O106" s="521">
        <f>O30</f>
        <v>0</v>
      </c>
      <c r="P106" s="622">
        <f>P30</f>
        <v>70</v>
      </c>
      <c r="Q106" s="620">
        <f>R106+T106</f>
        <v>0</v>
      </c>
      <c r="R106" s="521">
        <f>R30</f>
        <v>0</v>
      </c>
      <c r="S106" s="521">
        <f>S30</f>
        <v>0</v>
      </c>
      <c r="T106" s="522">
        <f>T30</f>
        <v>0</v>
      </c>
      <c r="U106" s="620">
        <f>V106+X106</f>
        <v>0</v>
      </c>
      <c r="V106" s="521">
        <f>V30</f>
        <v>0</v>
      </c>
      <c r="W106" s="521">
        <f>W30</f>
        <v>0</v>
      </c>
      <c r="X106" s="522">
        <f>X30</f>
        <v>0</v>
      </c>
      <c r="Y106" s="618"/>
      <c r="Z106" s="618"/>
      <c r="AA106" s="618"/>
      <c r="AB106" s="618"/>
      <c r="AC106" s="618"/>
      <c r="AD106" s="618"/>
      <c r="AE106" s="618"/>
      <c r="AF106" s="618"/>
      <c r="AG106" s="618"/>
      <c r="AH106" s="618"/>
      <c r="AI106" s="618"/>
      <c r="AJ106" s="618"/>
    </row>
    <row r="107" spans="1:36" s="339" customFormat="1" ht="13.5" customHeight="1" x14ac:dyDescent="0.2">
      <c r="A107" s="2467" t="s">
        <v>302</v>
      </c>
      <c r="B107" s="2468"/>
      <c r="C107" s="2468"/>
      <c r="D107" s="2468"/>
      <c r="E107" s="2468"/>
      <c r="F107" s="2468"/>
      <c r="G107" s="2468"/>
      <c r="H107" s="2469"/>
      <c r="I107" s="620">
        <f t="shared" si="72"/>
        <v>0</v>
      </c>
      <c r="J107" s="521">
        <f>+J59+J28</f>
        <v>0</v>
      </c>
      <c r="K107" s="521">
        <f>+K59+K28</f>
        <v>0</v>
      </c>
      <c r="L107" s="521">
        <f>+L59+L28</f>
        <v>0</v>
      </c>
      <c r="M107" s="620">
        <f t="shared" si="73"/>
        <v>33.299999999999997</v>
      </c>
      <c r="N107" s="521">
        <f>+N59+N28</f>
        <v>0</v>
      </c>
      <c r="O107" s="521">
        <f>+O59+O28</f>
        <v>0</v>
      </c>
      <c r="P107" s="521">
        <f>+P59+P28</f>
        <v>33.299999999999997</v>
      </c>
      <c r="Q107" s="620">
        <f t="shared" ref="Q107" si="81">R107+T107</f>
        <v>0</v>
      </c>
      <c r="R107" s="521">
        <f>+R59+R28</f>
        <v>0</v>
      </c>
      <c r="S107" s="521">
        <f>+S59+S28</f>
        <v>0</v>
      </c>
      <c r="T107" s="522">
        <f>+T59+T28</f>
        <v>0</v>
      </c>
      <c r="U107" s="620">
        <f t="shared" ref="U107:U109" si="82">V107+X107</f>
        <v>0</v>
      </c>
      <c r="V107" s="521">
        <f>+V59+V28</f>
        <v>0</v>
      </c>
      <c r="W107" s="521">
        <f>+W59+W28</f>
        <v>0</v>
      </c>
      <c r="X107" s="522">
        <f>+X59+X28</f>
        <v>0</v>
      </c>
      <c r="Y107" s="618"/>
      <c r="Z107" s="618"/>
      <c r="AA107" s="618"/>
      <c r="AB107" s="618"/>
      <c r="AC107" s="618"/>
      <c r="AD107" s="618"/>
      <c r="AE107" s="618"/>
      <c r="AF107" s="618"/>
      <c r="AG107" s="618"/>
      <c r="AH107" s="618"/>
      <c r="AI107" s="618"/>
      <c r="AJ107" s="618"/>
    </row>
    <row r="108" spans="1:36" s="339" customFormat="1" ht="13.5" customHeight="1" x14ac:dyDescent="0.2">
      <c r="A108" s="2689" t="s">
        <v>303</v>
      </c>
      <c r="B108" s="2690"/>
      <c r="C108" s="2690"/>
      <c r="D108" s="2690"/>
      <c r="E108" s="2690"/>
      <c r="F108" s="2690"/>
      <c r="G108" s="2690"/>
      <c r="H108" s="2691"/>
      <c r="I108" s="624">
        <f>J108+L108</f>
        <v>11.599999999999998</v>
      </c>
      <c r="J108" s="521">
        <f>+J23</f>
        <v>2.7999999999999972</v>
      </c>
      <c r="K108" s="521">
        <f>+K23</f>
        <v>0</v>
      </c>
      <c r="L108" s="521">
        <f>+L23</f>
        <v>8.8000000000000007</v>
      </c>
      <c r="M108" s="624">
        <f>N108+P108</f>
        <v>0</v>
      </c>
      <c r="N108" s="521">
        <f>+N23</f>
        <v>0</v>
      </c>
      <c r="O108" s="521">
        <f>+O23</f>
        <v>0</v>
      </c>
      <c r="P108" s="521">
        <f>+P23</f>
        <v>0</v>
      </c>
      <c r="Q108" s="624">
        <f>R108+T108</f>
        <v>0</v>
      </c>
      <c r="R108" s="521">
        <f>+R23</f>
        <v>0</v>
      </c>
      <c r="S108" s="521">
        <f>+S23</f>
        <v>0</v>
      </c>
      <c r="T108" s="522">
        <f>+T23</f>
        <v>0</v>
      </c>
      <c r="U108" s="624">
        <f>V108+X108</f>
        <v>0</v>
      </c>
      <c r="V108" s="521">
        <f>+V23</f>
        <v>0</v>
      </c>
      <c r="W108" s="521">
        <f>+W23</f>
        <v>0</v>
      </c>
      <c r="X108" s="522">
        <f>+X23</f>
        <v>0</v>
      </c>
      <c r="Y108" s="618"/>
      <c r="Z108" s="618"/>
      <c r="AA108" s="618"/>
      <c r="AB108" s="618"/>
      <c r="AC108" s="618"/>
      <c r="AD108" s="618"/>
      <c r="AE108" s="618"/>
      <c r="AF108" s="618"/>
      <c r="AG108" s="618"/>
      <c r="AH108" s="618"/>
      <c r="AI108" s="618"/>
      <c r="AJ108" s="618"/>
    </row>
    <row r="109" spans="1:36" s="339" customFormat="1" ht="13.5" customHeight="1" thickBot="1" x14ac:dyDescent="0.25">
      <c r="A109" s="2692" t="s">
        <v>304</v>
      </c>
      <c r="B109" s="2693"/>
      <c r="C109" s="2693"/>
      <c r="D109" s="2693"/>
      <c r="E109" s="2693"/>
      <c r="F109" s="2693"/>
      <c r="G109" s="2693"/>
      <c r="H109" s="2694"/>
      <c r="I109" s="624">
        <f t="shared" si="72"/>
        <v>2.4</v>
      </c>
      <c r="J109" s="523">
        <f>+J27</f>
        <v>0</v>
      </c>
      <c r="K109" s="521">
        <f>+K27</f>
        <v>0</v>
      </c>
      <c r="L109" s="521">
        <f>+L27</f>
        <v>2.4</v>
      </c>
      <c r="M109" s="624">
        <f t="shared" si="73"/>
        <v>37.1</v>
      </c>
      <c r="N109" s="521">
        <f>+N27</f>
        <v>0</v>
      </c>
      <c r="O109" s="521">
        <f>+O27</f>
        <v>0</v>
      </c>
      <c r="P109" s="521">
        <f>+P27</f>
        <v>37.1</v>
      </c>
      <c r="Q109" s="625">
        <f t="shared" ref="Q109" si="83">R109+T109</f>
        <v>0</v>
      </c>
      <c r="R109" s="527">
        <f>+R27</f>
        <v>0</v>
      </c>
      <c r="S109" s="527">
        <f>+S27</f>
        <v>0</v>
      </c>
      <c r="T109" s="528">
        <f>+T27</f>
        <v>0</v>
      </c>
      <c r="U109" s="625">
        <f t="shared" si="82"/>
        <v>0</v>
      </c>
      <c r="V109" s="527">
        <f>+V27</f>
        <v>0</v>
      </c>
      <c r="W109" s="527">
        <f>+W27</f>
        <v>0</v>
      </c>
      <c r="X109" s="528">
        <f>+X27</f>
        <v>0</v>
      </c>
      <c r="Y109" s="618"/>
      <c r="Z109" s="618"/>
      <c r="AA109" s="618"/>
      <c r="AB109" s="618"/>
      <c r="AC109" s="618"/>
      <c r="AD109" s="618"/>
      <c r="AE109" s="618"/>
      <c r="AF109" s="618"/>
      <c r="AG109" s="618"/>
      <c r="AH109" s="618"/>
      <c r="AI109" s="618"/>
      <c r="AJ109" s="618"/>
    </row>
    <row r="110" spans="1:36" s="339" customFormat="1" ht="13.5" customHeight="1" thickBot="1" x14ac:dyDescent="0.25">
      <c r="A110" s="2684" t="s">
        <v>222</v>
      </c>
      <c r="B110" s="2685"/>
      <c r="C110" s="2685"/>
      <c r="D110" s="2685"/>
      <c r="E110" s="2685"/>
      <c r="F110" s="2685"/>
      <c r="G110" s="2685"/>
      <c r="H110" s="2686"/>
      <c r="I110" s="626">
        <f t="shared" ref="I110:X110" si="84">SUM(I101:I109)</f>
        <v>1341.3999999999999</v>
      </c>
      <c r="J110" s="627">
        <f t="shared" si="84"/>
        <v>772.3</v>
      </c>
      <c r="K110" s="627">
        <f t="shared" si="84"/>
        <v>88.2</v>
      </c>
      <c r="L110" s="628">
        <f t="shared" si="84"/>
        <v>569.09999999999991</v>
      </c>
      <c r="M110" s="629">
        <f t="shared" si="84"/>
        <v>2252.7000000000003</v>
      </c>
      <c r="N110" s="630">
        <f t="shared" si="84"/>
        <v>929.4</v>
      </c>
      <c r="O110" s="631">
        <f t="shared" si="84"/>
        <v>100.6</v>
      </c>
      <c r="P110" s="632">
        <f>SUM(P101:P109)</f>
        <v>1323.3</v>
      </c>
      <c r="Q110" s="629">
        <f t="shared" ref="Q110:T110" si="85">SUM(Q101:Q109)</f>
        <v>4241.8999999999996</v>
      </c>
      <c r="R110" s="630">
        <f t="shared" si="85"/>
        <v>834.9</v>
      </c>
      <c r="S110" s="631">
        <f t="shared" si="85"/>
        <v>91.6</v>
      </c>
      <c r="T110" s="632">
        <f t="shared" si="85"/>
        <v>3407</v>
      </c>
      <c r="U110" s="629">
        <f t="shared" si="84"/>
        <v>817.9</v>
      </c>
      <c r="V110" s="630">
        <f t="shared" si="84"/>
        <v>772.9</v>
      </c>
      <c r="W110" s="631">
        <f t="shared" si="84"/>
        <v>91.6</v>
      </c>
      <c r="X110" s="632">
        <f t="shared" si="84"/>
        <v>45</v>
      </c>
      <c r="Y110" s="618"/>
      <c r="Z110" s="618"/>
      <c r="AA110" s="618"/>
      <c r="AB110" s="618"/>
      <c r="AC110" s="618"/>
      <c r="AD110" s="618"/>
      <c r="AE110" s="618"/>
      <c r="AF110" s="618"/>
      <c r="AG110" s="618"/>
      <c r="AH110" s="618"/>
      <c r="AI110" s="618"/>
      <c r="AJ110" s="618"/>
    </row>
    <row r="111" spans="1:36" ht="15.75" customHeight="1" x14ac:dyDescent="0.2">
      <c r="A111" s="2687"/>
      <c r="B111" s="2688"/>
      <c r="C111" s="2688"/>
      <c r="D111" s="2688"/>
      <c r="E111" s="2688"/>
      <c r="F111" s="2688"/>
      <c r="G111" s="2688"/>
      <c r="H111" s="2688"/>
      <c r="I111" s="431"/>
      <c r="J111" s="633"/>
      <c r="K111" s="431"/>
      <c r="L111" s="431"/>
      <c r="M111" s="431"/>
      <c r="N111" s="633"/>
      <c r="O111" s="633"/>
      <c r="P111" s="431"/>
      <c r="Q111" s="431"/>
      <c r="R111" s="633"/>
      <c r="S111" s="633"/>
      <c r="T111" s="431"/>
      <c r="U111" s="431"/>
      <c r="V111" s="633"/>
      <c r="W111" s="633"/>
      <c r="X111" s="431"/>
    </row>
    <row r="112" spans="1:36" x14ac:dyDescent="0.2">
      <c r="I112" s="541">
        <f t="shared" ref="I112:X112" si="86">I100-I110</f>
        <v>0</v>
      </c>
      <c r="J112" s="541">
        <f t="shared" si="86"/>
        <v>0</v>
      </c>
      <c r="K112" s="541">
        <f t="shared" si="86"/>
        <v>0</v>
      </c>
      <c r="L112" s="541">
        <f t="shared" si="86"/>
        <v>0</v>
      </c>
      <c r="M112" s="541">
        <f t="shared" si="86"/>
        <v>0</v>
      </c>
      <c r="N112" s="541">
        <f t="shared" si="86"/>
        <v>0</v>
      </c>
      <c r="O112" s="541">
        <f t="shared" si="86"/>
        <v>0</v>
      </c>
      <c r="P112" s="541">
        <f t="shared" si="86"/>
        <v>0</v>
      </c>
      <c r="Q112" s="541">
        <f t="shared" si="86"/>
        <v>0</v>
      </c>
      <c r="R112" s="541">
        <f t="shared" si="86"/>
        <v>0</v>
      </c>
      <c r="S112" s="541">
        <f t="shared" si="86"/>
        <v>0</v>
      </c>
      <c r="T112" s="541">
        <f t="shared" si="86"/>
        <v>0</v>
      </c>
      <c r="U112" s="541">
        <f t="shared" si="86"/>
        <v>0</v>
      </c>
      <c r="V112" s="541">
        <f t="shared" si="86"/>
        <v>0</v>
      </c>
      <c r="W112" s="541">
        <f t="shared" si="86"/>
        <v>0</v>
      </c>
      <c r="X112" s="541">
        <f t="shared" si="86"/>
        <v>0</v>
      </c>
    </row>
    <row r="113" spans="7:8" x14ac:dyDescent="0.2">
      <c r="G113" s="636"/>
      <c r="H113" s="636"/>
    </row>
    <row r="115" spans="7:8" x14ac:dyDescent="0.2">
      <c r="G115" s="636"/>
      <c r="H115" s="636"/>
    </row>
    <row r="116" spans="7:8" x14ac:dyDescent="0.2">
      <c r="G116" s="636"/>
      <c r="H116" s="636"/>
    </row>
    <row r="117" spans="7:8" ht="12.75" customHeight="1" x14ac:dyDescent="0.2">
      <c r="G117" s="636"/>
      <c r="H117" s="636"/>
    </row>
    <row r="118" spans="7:8" ht="12.75" customHeight="1" x14ac:dyDescent="0.2">
      <c r="G118" s="636"/>
      <c r="H118" s="636"/>
    </row>
    <row r="119" spans="7:8" x14ac:dyDescent="0.2">
      <c r="G119" s="636"/>
      <c r="H119" s="636"/>
    </row>
    <row r="120" spans="7:8" x14ac:dyDescent="0.2">
      <c r="G120" s="636"/>
      <c r="H120" s="636"/>
    </row>
    <row r="121" spans="7:8" x14ac:dyDescent="0.2">
      <c r="G121" s="636"/>
      <c r="H121" s="636"/>
    </row>
    <row r="122" spans="7:8" x14ac:dyDescent="0.2">
      <c r="G122" s="636"/>
      <c r="H122" s="636"/>
    </row>
    <row r="123" spans="7:8" x14ac:dyDescent="0.2">
      <c r="G123" s="636"/>
      <c r="H123" s="636"/>
    </row>
    <row r="124" spans="7:8" ht="12.75" customHeight="1" x14ac:dyDescent="0.2">
      <c r="G124" s="636"/>
      <c r="H124" s="636"/>
    </row>
    <row r="125" spans="7:8" x14ac:dyDescent="0.2">
      <c r="G125" s="636"/>
      <c r="H125" s="636"/>
    </row>
    <row r="126" spans="7:8" x14ac:dyDescent="0.2">
      <c r="G126" s="636"/>
      <c r="H126" s="636"/>
    </row>
    <row r="127" spans="7:8" x14ac:dyDescent="0.2">
      <c r="G127" s="636"/>
      <c r="H127" s="636"/>
    </row>
    <row r="128" spans="7:8" x14ac:dyDescent="0.2">
      <c r="G128" s="636"/>
      <c r="H128" s="636"/>
    </row>
    <row r="129" spans="4:24" x14ac:dyDescent="0.2">
      <c r="G129" s="636"/>
      <c r="H129" s="636"/>
    </row>
    <row r="132" spans="4:24" ht="21" customHeight="1" x14ac:dyDescent="0.2">
      <c r="D132" s="637"/>
      <c r="E132" s="532"/>
      <c r="F132" s="537"/>
      <c r="G132" s="638"/>
      <c r="H132" s="638"/>
      <c r="I132" s="639"/>
      <c r="J132" s="640"/>
      <c r="K132" s="640"/>
      <c r="L132" s="640"/>
      <c r="M132" s="639"/>
      <c r="N132" s="640"/>
      <c r="O132" s="640"/>
      <c r="P132" s="640"/>
      <c r="Q132" s="639"/>
      <c r="R132" s="640"/>
      <c r="S132" s="640"/>
      <c r="T132" s="640"/>
      <c r="U132" s="639"/>
      <c r="V132" s="640"/>
      <c r="W132" s="640"/>
      <c r="X132" s="640"/>
    </row>
    <row r="133" spans="4:24" x14ac:dyDescent="0.2">
      <c r="D133" s="637"/>
      <c r="E133" s="532"/>
      <c r="F133" s="537"/>
      <c r="G133" s="532"/>
      <c r="H133" s="537"/>
      <c r="I133" s="639"/>
      <c r="J133" s="640"/>
      <c r="K133" s="640"/>
      <c r="L133" s="640"/>
      <c r="M133" s="639"/>
      <c r="N133" s="640"/>
      <c r="O133" s="640"/>
      <c r="P133" s="640"/>
      <c r="Q133" s="639"/>
      <c r="R133" s="640"/>
      <c r="S133" s="640"/>
      <c r="T133" s="640"/>
      <c r="U133" s="639"/>
      <c r="V133" s="640"/>
      <c r="W133" s="640"/>
      <c r="X133" s="640"/>
    </row>
    <row r="134" spans="4:24" x14ac:dyDescent="0.2">
      <c r="D134" s="637"/>
      <c r="E134" s="532"/>
      <c r="F134" s="537"/>
      <c r="G134" s="532"/>
      <c r="H134" s="537"/>
      <c r="I134" s="639"/>
      <c r="J134" s="640"/>
      <c r="K134" s="640"/>
      <c r="L134" s="640"/>
      <c r="M134" s="639"/>
      <c r="N134" s="640"/>
      <c r="O134" s="640"/>
      <c r="P134" s="640"/>
      <c r="Q134" s="639"/>
      <c r="R134" s="640"/>
      <c r="S134" s="640"/>
      <c r="T134" s="640"/>
      <c r="U134" s="639"/>
      <c r="V134" s="640"/>
      <c r="W134" s="640"/>
      <c r="X134" s="640"/>
    </row>
    <row r="135" spans="4:24" x14ac:dyDescent="0.2">
      <c r="D135" s="637"/>
      <c r="E135" s="532"/>
      <c r="F135" s="537"/>
      <c r="G135" s="532"/>
      <c r="H135" s="537"/>
      <c r="I135" s="639"/>
      <c r="J135" s="640"/>
      <c r="K135" s="640"/>
      <c r="L135" s="640"/>
      <c r="M135" s="639"/>
      <c r="N135" s="640"/>
      <c r="O135" s="640"/>
      <c r="P135" s="640"/>
      <c r="Q135" s="639"/>
      <c r="R135" s="640"/>
      <c r="S135" s="640"/>
      <c r="T135" s="640"/>
      <c r="U135" s="639"/>
      <c r="V135" s="640"/>
      <c r="W135" s="640"/>
      <c r="X135" s="640"/>
    </row>
    <row r="136" spans="4:24" x14ac:dyDescent="0.2">
      <c r="D136" s="637"/>
      <c r="E136" s="532"/>
      <c r="F136" s="537"/>
      <c r="G136" s="532"/>
      <c r="H136" s="537"/>
      <c r="I136" s="639"/>
      <c r="J136" s="640"/>
      <c r="K136" s="640"/>
      <c r="L136" s="640"/>
      <c r="M136" s="639"/>
      <c r="N136" s="640"/>
      <c r="O136" s="640"/>
      <c r="P136" s="640"/>
      <c r="Q136" s="639"/>
      <c r="R136" s="640"/>
      <c r="S136" s="640"/>
      <c r="T136" s="640"/>
      <c r="U136" s="639"/>
      <c r="V136" s="640"/>
      <c r="W136" s="640"/>
      <c r="X136" s="640"/>
    </row>
    <row r="137" spans="4:24" x14ac:dyDescent="0.2">
      <c r="D137" s="637"/>
      <c r="E137" s="532"/>
      <c r="F137" s="537"/>
      <c r="G137" s="532"/>
      <c r="H137" s="537"/>
      <c r="I137" s="639"/>
      <c r="J137" s="640"/>
      <c r="K137" s="640"/>
      <c r="L137" s="640"/>
      <c r="M137" s="639"/>
      <c r="N137" s="640"/>
      <c r="O137" s="640"/>
      <c r="P137" s="640"/>
      <c r="Q137" s="639"/>
      <c r="R137" s="640"/>
      <c r="S137" s="640"/>
      <c r="T137" s="640"/>
      <c r="U137" s="639"/>
      <c r="V137" s="640"/>
      <c r="W137" s="640"/>
      <c r="X137" s="640"/>
    </row>
    <row r="138" spans="4:24" x14ac:dyDescent="0.2">
      <c r="D138" s="637"/>
      <c r="E138" s="532"/>
      <c r="F138" s="537"/>
      <c r="G138" s="532"/>
      <c r="H138" s="537"/>
      <c r="I138" s="639"/>
      <c r="J138" s="640"/>
      <c r="K138" s="640"/>
      <c r="L138" s="640"/>
      <c r="M138" s="639"/>
      <c r="N138" s="640"/>
      <c r="O138" s="640"/>
      <c r="P138" s="640"/>
      <c r="Q138" s="639"/>
      <c r="R138" s="640"/>
      <c r="S138" s="640"/>
      <c r="T138" s="640"/>
      <c r="U138" s="639"/>
      <c r="V138" s="640"/>
      <c r="W138" s="640"/>
      <c r="X138" s="640"/>
    </row>
    <row r="139" spans="4:24" x14ac:dyDescent="0.2">
      <c r="D139" s="637"/>
      <c r="E139" s="532"/>
      <c r="F139" s="537"/>
      <c r="G139" s="532"/>
      <c r="H139" s="537"/>
      <c r="I139" s="639"/>
      <c r="J139" s="640"/>
      <c r="K139" s="640"/>
      <c r="L139" s="640"/>
      <c r="M139" s="639"/>
      <c r="N139" s="640"/>
      <c r="O139" s="640"/>
      <c r="P139" s="640"/>
      <c r="Q139" s="639"/>
      <c r="R139" s="640"/>
      <c r="S139" s="640"/>
      <c r="T139" s="640"/>
      <c r="U139" s="639"/>
      <c r="V139" s="640"/>
      <c r="W139" s="640"/>
      <c r="X139" s="640"/>
    </row>
    <row r="140" spans="4:24" x14ac:dyDescent="0.2">
      <c r="D140" s="637"/>
      <c r="E140" s="532"/>
      <c r="F140" s="537"/>
      <c r="G140" s="532"/>
      <c r="H140" s="537"/>
      <c r="I140" s="639"/>
      <c r="J140" s="640"/>
      <c r="K140" s="640"/>
      <c r="L140" s="640"/>
      <c r="M140" s="639"/>
      <c r="N140" s="640"/>
      <c r="O140" s="640"/>
      <c r="P140" s="640"/>
      <c r="Q140" s="639"/>
      <c r="R140" s="640"/>
      <c r="S140" s="640"/>
      <c r="T140" s="640"/>
      <c r="U140" s="639"/>
      <c r="V140" s="640"/>
      <c r="W140" s="640"/>
      <c r="X140" s="640"/>
    </row>
    <row r="141" spans="4:24" x14ac:dyDescent="0.2">
      <c r="D141" s="637"/>
      <c r="E141" s="532"/>
      <c r="F141" s="537"/>
      <c r="G141" s="532"/>
      <c r="H141" s="537"/>
      <c r="I141" s="639"/>
      <c r="J141" s="640"/>
      <c r="K141" s="640"/>
      <c r="L141" s="640"/>
      <c r="M141" s="639"/>
      <c r="N141" s="640"/>
      <c r="O141" s="640"/>
      <c r="P141" s="640"/>
      <c r="Q141" s="639"/>
      <c r="R141" s="640"/>
      <c r="S141" s="640"/>
      <c r="T141" s="640"/>
      <c r="U141" s="639"/>
      <c r="V141" s="640"/>
      <c r="W141" s="640"/>
      <c r="X141" s="640"/>
    </row>
    <row r="142" spans="4:24" x14ac:dyDescent="0.2">
      <c r="D142" s="637"/>
      <c r="E142" s="532"/>
      <c r="F142" s="537"/>
      <c r="G142" s="532"/>
      <c r="H142" s="537"/>
      <c r="I142" s="639"/>
      <c r="J142" s="640"/>
      <c r="K142" s="640"/>
      <c r="L142" s="640"/>
      <c r="M142" s="639"/>
      <c r="N142" s="640"/>
      <c r="O142" s="640"/>
      <c r="P142" s="640"/>
      <c r="Q142" s="639"/>
      <c r="R142" s="640"/>
      <c r="S142" s="640"/>
      <c r="T142" s="640"/>
      <c r="U142" s="639"/>
      <c r="V142" s="640"/>
      <c r="W142" s="640"/>
      <c r="X142" s="640"/>
    </row>
    <row r="143" spans="4:24" x14ac:dyDescent="0.2">
      <c r="D143" s="637"/>
      <c r="E143" s="532"/>
      <c r="F143" s="537"/>
      <c r="G143" s="532"/>
      <c r="H143" s="537"/>
      <c r="I143" s="639"/>
      <c r="J143" s="640"/>
      <c r="K143" s="640"/>
      <c r="L143" s="640"/>
      <c r="M143" s="639"/>
      <c r="N143" s="640"/>
      <c r="O143" s="640"/>
      <c r="P143" s="640"/>
      <c r="Q143" s="639"/>
      <c r="R143" s="640"/>
      <c r="S143" s="640"/>
      <c r="T143" s="640"/>
      <c r="U143" s="639"/>
      <c r="V143" s="640"/>
      <c r="W143" s="640"/>
      <c r="X143" s="640"/>
    </row>
    <row r="144" spans="4:24" x14ac:dyDescent="0.2">
      <c r="D144" s="637"/>
      <c r="E144" s="532"/>
      <c r="F144" s="537"/>
      <c r="G144" s="532"/>
      <c r="H144" s="537"/>
      <c r="I144" s="639"/>
      <c r="J144" s="640"/>
      <c r="K144" s="640"/>
      <c r="L144" s="640"/>
      <c r="M144" s="639"/>
      <c r="N144" s="640"/>
      <c r="O144" s="640"/>
      <c r="P144" s="640"/>
      <c r="Q144" s="639"/>
      <c r="R144" s="640"/>
      <c r="S144" s="640"/>
      <c r="T144" s="640"/>
      <c r="U144" s="639"/>
      <c r="V144" s="640"/>
      <c r="W144" s="640"/>
      <c r="X144" s="640"/>
    </row>
    <row r="145" spans="4:24" x14ac:dyDescent="0.2">
      <c r="D145" s="637"/>
      <c r="E145" s="532"/>
      <c r="F145" s="537"/>
      <c r="G145" s="532"/>
      <c r="H145" s="537"/>
      <c r="I145" s="639"/>
      <c r="J145" s="640"/>
      <c r="K145" s="640"/>
      <c r="L145" s="640"/>
      <c r="M145" s="639"/>
      <c r="N145" s="640"/>
      <c r="O145" s="640"/>
      <c r="P145" s="640"/>
      <c r="Q145" s="639"/>
      <c r="R145" s="640"/>
      <c r="S145" s="640"/>
      <c r="T145" s="640"/>
      <c r="U145" s="639"/>
      <c r="V145" s="640"/>
      <c r="W145" s="640"/>
      <c r="X145" s="640"/>
    </row>
    <row r="146" spans="4:24" x14ac:dyDescent="0.2">
      <c r="D146" s="637"/>
      <c r="E146" s="532"/>
      <c r="F146" s="537"/>
      <c r="G146" s="532"/>
      <c r="H146" s="537"/>
      <c r="I146" s="639"/>
      <c r="J146" s="640"/>
      <c r="K146" s="640"/>
      <c r="L146" s="640"/>
      <c r="M146" s="639"/>
      <c r="N146" s="640"/>
      <c r="O146" s="640"/>
      <c r="P146" s="640"/>
      <c r="Q146" s="639"/>
      <c r="R146" s="640"/>
      <c r="S146" s="640"/>
      <c r="T146" s="640"/>
      <c r="U146" s="639"/>
      <c r="V146" s="640"/>
      <c r="W146" s="640"/>
      <c r="X146" s="640"/>
    </row>
    <row r="147" spans="4:24" x14ac:dyDescent="0.2">
      <c r="D147" s="637"/>
      <c r="E147" s="532"/>
      <c r="F147" s="537"/>
      <c r="G147" s="532"/>
      <c r="H147" s="537"/>
      <c r="I147" s="639"/>
      <c r="J147" s="640"/>
      <c r="K147" s="640"/>
      <c r="L147" s="640"/>
      <c r="M147" s="639"/>
      <c r="N147" s="640"/>
      <c r="O147" s="640"/>
      <c r="P147" s="640"/>
      <c r="Q147" s="639"/>
      <c r="R147" s="640"/>
      <c r="S147" s="640"/>
      <c r="T147" s="640"/>
      <c r="U147" s="639"/>
      <c r="V147" s="640"/>
      <c r="W147" s="640"/>
      <c r="X147" s="640"/>
    </row>
    <row r="148" spans="4:24" x14ac:dyDescent="0.2">
      <c r="D148" s="637"/>
      <c r="E148" s="532"/>
      <c r="F148" s="537"/>
      <c r="G148" s="532"/>
      <c r="H148" s="537"/>
      <c r="I148" s="639"/>
      <c r="J148" s="640"/>
      <c r="K148" s="640"/>
      <c r="L148" s="640"/>
      <c r="M148" s="639"/>
      <c r="N148" s="640"/>
      <c r="O148" s="640"/>
      <c r="P148" s="640"/>
      <c r="Q148" s="639"/>
      <c r="R148" s="640"/>
      <c r="S148" s="640"/>
      <c r="T148" s="640"/>
      <c r="U148" s="639"/>
      <c r="V148" s="640"/>
      <c r="W148" s="640"/>
      <c r="X148" s="640"/>
    </row>
    <row r="149" spans="4:24" x14ac:dyDescent="0.2">
      <c r="D149" s="637"/>
      <c r="E149" s="532"/>
      <c r="F149" s="537"/>
      <c r="G149" s="532"/>
      <c r="H149" s="537"/>
      <c r="I149" s="639"/>
      <c r="J149" s="640"/>
      <c r="K149" s="640"/>
      <c r="L149" s="640"/>
      <c r="M149" s="639"/>
      <c r="N149" s="640"/>
      <c r="O149" s="640"/>
      <c r="P149" s="640"/>
      <c r="Q149" s="639"/>
      <c r="R149" s="640"/>
      <c r="S149" s="640"/>
      <c r="T149" s="640"/>
      <c r="U149" s="639"/>
      <c r="V149" s="640"/>
      <c r="W149" s="640"/>
      <c r="X149" s="640"/>
    </row>
    <row r="150" spans="4:24" x14ac:dyDescent="0.2">
      <c r="D150" s="637"/>
      <c r="E150" s="532"/>
      <c r="F150" s="537"/>
      <c r="G150" s="532"/>
      <c r="H150" s="537"/>
      <c r="I150" s="639"/>
      <c r="J150" s="640"/>
      <c r="K150" s="640"/>
      <c r="L150" s="640"/>
      <c r="M150" s="639"/>
      <c r="N150" s="640"/>
      <c r="O150" s="640"/>
      <c r="P150" s="640"/>
      <c r="Q150" s="639"/>
      <c r="R150" s="640"/>
      <c r="S150" s="640"/>
      <c r="T150" s="640"/>
      <c r="U150" s="639"/>
      <c r="V150" s="640"/>
      <c r="W150" s="640"/>
      <c r="X150" s="640"/>
    </row>
    <row r="151" spans="4:24" x14ac:dyDescent="0.2">
      <c r="D151" s="637"/>
      <c r="E151" s="532"/>
      <c r="F151" s="537"/>
      <c r="G151" s="532"/>
      <c r="H151" s="537"/>
      <c r="I151" s="639"/>
      <c r="J151" s="640"/>
      <c r="K151" s="640"/>
      <c r="L151" s="640"/>
      <c r="M151" s="639"/>
      <c r="N151" s="640"/>
      <c r="O151" s="640"/>
      <c r="P151" s="640"/>
      <c r="Q151" s="639"/>
      <c r="R151" s="640"/>
      <c r="S151" s="640"/>
      <c r="T151" s="640"/>
      <c r="U151" s="639"/>
      <c r="V151" s="640"/>
      <c r="W151" s="640"/>
      <c r="X151" s="640"/>
    </row>
    <row r="152" spans="4:24" x14ac:dyDescent="0.2">
      <c r="D152" s="637"/>
      <c r="E152" s="532"/>
      <c r="F152" s="537"/>
      <c r="G152" s="532"/>
      <c r="H152" s="537"/>
      <c r="I152" s="639"/>
      <c r="J152" s="640"/>
      <c r="K152" s="640"/>
      <c r="L152" s="640"/>
      <c r="M152" s="639"/>
      <c r="N152" s="640"/>
      <c r="O152" s="640"/>
      <c r="P152" s="640"/>
      <c r="Q152" s="639"/>
      <c r="R152" s="640"/>
      <c r="S152" s="640"/>
      <c r="T152" s="640"/>
      <c r="U152" s="639"/>
      <c r="V152" s="640"/>
      <c r="W152" s="640"/>
      <c r="X152" s="640"/>
    </row>
    <row r="153" spans="4:24" x14ac:dyDescent="0.2">
      <c r="D153" s="637"/>
      <c r="E153" s="532"/>
      <c r="F153" s="537"/>
      <c r="G153" s="532"/>
      <c r="H153" s="537"/>
      <c r="I153" s="639"/>
      <c r="J153" s="640"/>
      <c r="K153" s="640"/>
      <c r="L153" s="640"/>
      <c r="M153" s="639"/>
      <c r="N153" s="640"/>
      <c r="O153" s="640"/>
      <c r="P153" s="640"/>
      <c r="Q153" s="639"/>
      <c r="R153" s="640"/>
      <c r="S153" s="640"/>
      <c r="T153" s="640"/>
      <c r="U153" s="639"/>
      <c r="V153" s="640"/>
      <c r="W153" s="640"/>
      <c r="X153" s="640"/>
    </row>
    <row r="154" spans="4:24" x14ac:dyDescent="0.2">
      <c r="D154" s="637"/>
      <c r="E154" s="532"/>
      <c r="F154" s="537"/>
      <c r="G154" s="532"/>
      <c r="H154" s="537"/>
      <c r="I154" s="639"/>
      <c r="J154" s="640"/>
      <c r="K154" s="640"/>
      <c r="L154" s="640"/>
      <c r="M154" s="639"/>
      <c r="N154" s="640"/>
      <c r="O154" s="640"/>
      <c r="P154" s="640"/>
      <c r="Q154" s="639"/>
      <c r="R154" s="640"/>
      <c r="S154" s="640"/>
      <c r="T154" s="640"/>
      <c r="U154" s="639"/>
      <c r="V154" s="640"/>
      <c r="W154" s="640"/>
      <c r="X154" s="640"/>
    </row>
    <row r="155" spans="4:24" x14ac:dyDescent="0.2">
      <c r="D155" s="637"/>
      <c r="E155" s="532"/>
      <c r="F155" s="537"/>
      <c r="G155" s="532"/>
      <c r="H155" s="537"/>
      <c r="I155" s="639"/>
      <c r="J155" s="640"/>
      <c r="K155" s="640"/>
      <c r="L155" s="640"/>
      <c r="M155" s="639"/>
      <c r="N155" s="640"/>
      <c r="O155" s="640"/>
      <c r="P155" s="640"/>
      <c r="Q155" s="639"/>
      <c r="R155" s="640"/>
      <c r="S155" s="640"/>
      <c r="T155" s="640"/>
      <c r="U155" s="639"/>
      <c r="V155" s="640"/>
      <c r="W155" s="640"/>
      <c r="X155" s="640"/>
    </row>
    <row r="156" spans="4:24" x14ac:dyDescent="0.2">
      <c r="D156" s="637"/>
      <c r="E156" s="532"/>
      <c r="F156" s="537"/>
      <c r="G156" s="532"/>
      <c r="H156" s="537"/>
      <c r="I156" s="639"/>
      <c r="J156" s="640"/>
      <c r="K156" s="640"/>
      <c r="L156" s="640"/>
      <c r="M156" s="639"/>
      <c r="N156" s="640"/>
      <c r="O156" s="640"/>
      <c r="P156" s="640"/>
      <c r="Q156" s="639"/>
      <c r="R156" s="640"/>
      <c r="S156" s="640"/>
      <c r="T156" s="640"/>
      <c r="U156" s="639"/>
      <c r="V156" s="640"/>
      <c r="W156" s="640"/>
      <c r="X156" s="640"/>
    </row>
    <row r="157" spans="4:24" x14ac:dyDescent="0.2">
      <c r="D157" s="637"/>
      <c r="E157" s="532"/>
      <c r="F157" s="537"/>
      <c r="G157" s="532"/>
      <c r="H157" s="537"/>
      <c r="I157" s="639"/>
      <c r="J157" s="640"/>
      <c r="K157" s="640"/>
      <c r="L157" s="640"/>
      <c r="M157" s="639"/>
      <c r="N157" s="640"/>
      <c r="O157" s="640"/>
      <c r="P157" s="640"/>
      <c r="Q157" s="639"/>
      <c r="R157" s="640"/>
      <c r="S157" s="640"/>
      <c r="T157" s="640"/>
      <c r="U157" s="639"/>
      <c r="V157" s="640"/>
      <c r="W157" s="640"/>
      <c r="X157" s="640"/>
    </row>
    <row r="158" spans="4:24" x14ac:dyDescent="0.2">
      <c r="D158" s="637"/>
      <c r="E158" s="532"/>
      <c r="F158" s="537"/>
      <c r="G158" s="532"/>
      <c r="H158" s="537"/>
      <c r="I158" s="639"/>
      <c r="J158" s="640"/>
      <c r="K158" s="640"/>
      <c r="L158" s="640"/>
      <c r="M158" s="639"/>
      <c r="N158" s="640"/>
      <c r="O158" s="640"/>
      <c r="P158" s="640"/>
      <c r="Q158" s="639"/>
      <c r="R158" s="640"/>
      <c r="S158" s="640"/>
      <c r="T158" s="640"/>
      <c r="U158" s="639"/>
      <c r="V158" s="640"/>
      <c r="W158" s="640"/>
      <c r="X158" s="640"/>
    </row>
    <row r="159" spans="4:24" x14ac:dyDescent="0.2">
      <c r="D159" s="637"/>
      <c r="E159" s="532"/>
      <c r="F159" s="537"/>
      <c r="G159" s="532"/>
      <c r="H159" s="537"/>
      <c r="I159" s="639"/>
      <c r="J159" s="640"/>
      <c r="K159" s="640"/>
      <c r="L159" s="640"/>
      <c r="M159" s="639"/>
      <c r="N159" s="640"/>
      <c r="O159" s="640"/>
      <c r="P159" s="640"/>
      <c r="Q159" s="639"/>
      <c r="R159" s="640"/>
      <c r="S159" s="640"/>
      <c r="T159" s="640"/>
      <c r="U159" s="639"/>
      <c r="V159" s="640"/>
      <c r="W159" s="640"/>
      <c r="X159" s="640"/>
    </row>
    <row r="160" spans="4:24" x14ac:dyDescent="0.2">
      <c r="D160" s="637"/>
      <c r="E160" s="532"/>
      <c r="F160" s="537"/>
      <c r="G160" s="532"/>
      <c r="H160" s="537"/>
      <c r="I160" s="639"/>
      <c r="J160" s="640"/>
      <c r="K160" s="640"/>
      <c r="L160" s="640"/>
      <c r="M160" s="639"/>
      <c r="N160" s="640"/>
      <c r="O160" s="640"/>
      <c r="P160" s="640"/>
      <c r="Q160" s="639"/>
      <c r="R160" s="640"/>
      <c r="S160" s="640"/>
      <c r="T160" s="640"/>
      <c r="U160" s="639"/>
      <c r="V160" s="640"/>
      <c r="W160" s="640"/>
      <c r="X160" s="640"/>
    </row>
    <row r="161" spans="4:24" x14ac:dyDescent="0.2">
      <c r="D161" s="637"/>
      <c r="E161" s="532"/>
      <c r="F161" s="537"/>
      <c r="G161" s="532"/>
      <c r="H161" s="537"/>
      <c r="I161" s="639"/>
      <c r="J161" s="640"/>
      <c r="K161" s="640"/>
      <c r="L161" s="640"/>
      <c r="M161" s="639"/>
      <c r="N161" s="640"/>
      <c r="O161" s="640"/>
      <c r="P161" s="640"/>
      <c r="Q161" s="639"/>
      <c r="R161" s="640"/>
      <c r="S161" s="640"/>
      <c r="T161" s="640"/>
      <c r="U161" s="639"/>
      <c r="V161" s="640"/>
      <c r="W161" s="640"/>
      <c r="X161" s="640"/>
    </row>
  </sheetData>
  <mergeCells count="228">
    <mergeCell ref="A96:A97"/>
    <mergeCell ref="B96:B97"/>
    <mergeCell ref="C96:C97"/>
    <mergeCell ref="D96:D97"/>
    <mergeCell ref="F97:H97"/>
    <mergeCell ref="E96:E97"/>
    <mergeCell ref="A4:A7"/>
    <mergeCell ref="B4:B7"/>
    <mergeCell ref="C4:C7"/>
    <mergeCell ref="D4:D7"/>
    <mergeCell ref="E4:E7"/>
    <mergeCell ref="F4:F7"/>
    <mergeCell ref="A8:X8"/>
    <mergeCell ref="A9:X9"/>
    <mergeCell ref="B10:X10"/>
    <mergeCell ref="C11:X11"/>
    <mergeCell ref="U4:X4"/>
    <mergeCell ref="I5:I7"/>
    <mergeCell ref="J5:L5"/>
    <mergeCell ref="M5:M7"/>
    <mergeCell ref="N5:P5"/>
    <mergeCell ref="A14:A15"/>
    <mergeCell ref="B14:B15"/>
    <mergeCell ref="C14:C15"/>
    <mergeCell ref="U1:X1"/>
    <mergeCell ref="A2:X2"/>
    <mergeCell ref="A3:H3"/>
    <mergeCell ref="K3:L3"/>
    <mergeCell ref="O3:P3"/>
    <mergeCell ref="S3:T3"/>
    <mergeCell ref="W3:X3"/>
    <mergeCell ref="V6:W6"/>
    <mergeCell ref="X6:X7"/>
    <mergeCell ref="Q5:Q7"/>
    <mergeCell ref="R5:T5"/>
    <mergeCell ref="U5:U7"/>
    <mergeCell ref="V5:X5"/>
    <mergeCell ref="J6:K6"/>
    <mergeCell ref="L6:L7"/>
    <mergeCell ref="N6:O6"/>
    <mergeCell ref="P6:P7"/>
    <mergeCell ref="R6:S6"/>
    <mergeCell ref="T6:T7"/>
    <mergeCell ref="G4:G7"/>
    <mergeCell ref="H4:H7"/>
    <mergeCell ref="I4:L4"/>
    <mergeCell ref="M4:P4"/>
    <mergeCell ref="Q4:T4"/>
    <mergeCell ref="D14:D15"/>
    <mergeCell ref="E14:E15"/>
    <mergeCell ref="F15:H15"/>
    <mergeCell ref="A12:A13"/>
    <mergeCell ref="B12:B13"/>
    <mergeCell ref="C12:C13"/>
    <mergeCell ref="D12:D13"/>
    <mergeCell ref="E12:E13"/>
    <mergeCell ref="F13:H13"/>
    <mergeCell ref="C16:H16"/>
    <mergeCell ref="B17:H17"/>
    <mergeCell ref="B18:X18"/>
    <mergeCell ref="C19:X19"/>
    <mergeCell ref="A20:A24"/>
    <mergeCell ref="B20:B24"/>
    <mergeCell ref="C20:C24"/>
    <mergeCell ref="D20:D24"/>
    <mergeCell ref="E20:E24"/>
    <mergeCell ref="F20:F23"/>
    <mergeCell ref="G20:G23"/>
    <mergeCell ref="F24:H24"/>
    <mergeCell ref="A25:A29"/>
    <mergeCell ref="B25:B29"/>
    <mergeCell ref="C25:C29"/>
    <mergeCell ref="D25:D29"/>
    <mergeCell ref="E25:E29"/>
    <mergeCell ref="F25:F28"/>
    <mergeCell ref="G25:G28"/>
    <mergeCell ref="F29:H29"/>
    <mergeCell ref="G30:G31"/>
    <mergeCell ref="F32:H32"/>
    <mergeCell ref="C33:H33"/>
    <mergeCell ref="C34:X34"/>
    <mergeCell ref="A35:A36"/>
    <mergeCell ref="B35:B36"/>
    <mergeCell ref="C35:C36"/>
    <mergeCell ref="D35:D36"/>
    <mergeCell ref="E35:E36"/>
    <mergeCell ref="F36:H36"/>
    <mergeCell ref="A30:A32"/>
    <mergeCell ref="B30:B32"/>
    <mergeCell ref="C30:C32"/>
    <mergeCell ref="D30:D32"/>
    <mergeCell ref="E30:E32"/>
    <mergeCell ref="F30:F31"/>
    <mergeCell ref="A39:A40"/>
    <mergeCell ref="B39:B40"/>
    <mergeCell ref="C39:C40"/>
    <mergeCell ref="D39:D40"/>
    <mergeCell ref="E39:E40"/>
    <mergeCell ref="F40:H40"/>
    <mergeCell ref="A37:A38"/>
    <mergeCell ref="B37:B38"/>
    <mergeCell ref="C37:C38"/>
    <mergeCell ref="D37:D38"/>
    <mergeCell ref="E37:E38"/>
    <mergeCell ref="F38:H38"/>
    <mergeCell ref="C41:H41"/>
    <mergeCell ref="B42:H42"/>
    <mergeCell ref="B43:X43"/>
    <mergeCell ref="C44:X44"/>
    <mergeCell ref="A45:A48"/>
    <mergeCell ref="B45:B48"/>
    <mergeCell ref="C45:C48"/>
    <mergeCell ref="D45:D48"/>
    <mergeCell ref="E45:E48"/>
    <mergeCell ref="F45:F47"/>
    <mergeCell ref="G45:G47"/>
    <mergeCell ref="F48:H48"/>
    <mergeCell ref="C49:H49"/>
    <mergeCell ref="C50:X50"/>
    <mergeCell ref="A51:A52"/>
    <mergeCell ref="B51:B52"/>
    <mergeCell ref="C51:C52"/>
    <mergeCell ref="D51:D52"/>
    <mergeCell ref="E51:E52"/>
    <mergeCell ref="F52:H52"/>
    <mergeCell ref="A55:A56"/>
    <mergeCell ref="B55:B56"/>
    <mergeCell ref="C55:C56"/>
    <mergeCell ref="D55:D56"/>
    <mergeCell ref="E55:E56"/>
    <mergeCell ref="F56:H56"/>
    <mergeCell ref="A53:A54"/>
    <mergeCell ref="B53:B54"/>
    <mergeCell ref="C53:C54"/>
    <mergeCell ref="D53:D54"/>
    <mergeCell ref="E53:E54"/>
    <mergeCell ref="F54:H54"/>
    <mergeCell ref="G57:G59"/>
    <mergeCell ref="F60:H60"/>
    <mergeCell ref="C61:H61"/>
    <mergeCell ref="C62:X62"/>
    <mergeCell ref="A63:A65"/>
    <mergeCell ref="B63:B65"/>
    <mergeCell ref="C63:C65"/>
    <mergeCell ref="D63:D65"/>
    <mergeCell ref="E63:E65"/>
    <mergeCell ref="F63:F64"/>
    <mergeCell ref="A57:A60"/>
    <mergeCell ref="B57:B60"/>
    <mergeCell ref="C57:C60"/>
    <mergeCell ref="D57:D60"/>
    <mergeCell ref="E57:E60"/>
    <mergeCell ref="F57:F59"/>
    <mergeCell ref="A68:A69"/>
    <mergeCell ref="B68:B69"/>
    <mergeCell ref="C68:C69"/>
    <mergeCell ref="D68:D69"/>
    <mergeCell ref="E68:E69"/>
    <mergeCell ref="F69:H69"/>
    <mergeCell ref="G63:G64"/>
    <mergeCell ref="F65:H65"/>
    <mergeCell ref="A66:A67"/>
    <mergeCell ref="B66:B67"/>
    <mergeCell ref="C66:C67"/>
    <mergeCell ref="D66:D67"/>
    <mergeCell ref="E66:E67"/>
    <mergeCell ref="F67:H67"/>
    <mergeCell ref="A78:A79"/>
    <mergeCell ref="B78:B79"/>
    <mergeCell ref="C78:C79"/>
    <mergeCell ref="D78:D79"/>
    <mergeCell ref="E78:E79"/>
    <mergeCell ref="F79:H79"/>
    <mergeCell ref="C70:H70"/>
    <mergeCell ref="B71:H71"/>
    <mergeCell ref="B72:X72"/>
    <mergeCell ref="C73:X73"/>
    <mergeCell ref="A74:A77"/>
    <mergeCell ref="B74:B77"/>
    <mergeCell ref="C74:C77"/>
    <mergeCell ref="D74:D77"/>
    <mergeCell ref="F77:H77"/>
    <mergeCell ref="C80:H80"/>
    <mergeCell ref="C81:X81"/>
    <mergeCell ref="A82:A84"/>
    <mergeCell ref="B82:B84"/>
    <mergeCell ref="C82:C84"/>
    <mergeCell ref="D82:D84"/>
    <mergeCell ref="F82:F83"/>
    <mergeCell ref="G82:G83"/>
    <mergeCell ref="F84:H84"/>
    <mergeCell ref="C87:H87"/>
    <mergeCell ref="C88:X88"/>
    <mergeCell ref="A89:A90"/>
    <mergeCell ref="B89:B90"/>
    <mergeCell ref="C89:C90"/>
    <mergeCell ref="D89:D90"/>
    <mergeCell ref="E89:E90"/>
    <mergeCell ref="F90:H90"/>
    <mergeCell ref="A85:A86"/>
    <mergeCell ref="B85:B86"/>
    <mergeCell ref="C85:C86"/>
    <mergeCell ref="D85:D86"/>
    <mergeCell ref="E85:E86"/>
    <mergeCell ref="F86:H86"/>
    <mergeCell ref="C91:H91"/>
    <mergeCell ref="C92:X92"/>
    <mergeCell ref="A93:A95"/>
    <mergeCell ref="B93:B95"/>
    <mergeCell ref="C93:C95"/>
    <mergeCell ref="D93:D95"/>
    <mergeCell ref="F93:F94"/>
    <mergeCell ref="E94:E95"/>
    <mergeCell ref="F95:H95"/>
    <mergeCell ref="A110:H110"/>
    <mergeCell ref="A111:H111"/>
    <mergeCell ref="A104:H104"/>
    <mergeCell ref="A105:H105"/>
    <mergeCell ref="A106:H106"/>
    <mergeCell ref="A107:H107"/>
    <mergeCell ref="A108:H108"/>
    <mergeCell ref="A109:H109"/>
    <mergeCell ref="C98:H98"/>
    <mergeCell ref="B99:H99"/>
    <mergeCell ref="A100:H100"/>
    <mergeCell ref="A101:H101"/>
    <mergeCell ref="A102:H102"/>
    <mergeCell ref="A103:H10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17" orientation="landscape" cellComments="asDisplayed" r:id="rId1"/>
  <headerFooter alignWithMargins="0">
    <oddHeader>&amp;C&amp;P&amp;R2 programa</oddHeader>
  </headerFooter>
  <rowBreaks count="5" manualBreakCount="5">
    <brk id="17" max="23" man="1"/>
    <brk id="24" max="23" man="1"/>
    <brk id="41" max="23" man="1"/>
    <brk id="52" max="23" man="1"/>
    <brk id="110" max="23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4"/>
  <sheetViews>
    <sheetView showZeros="0" topLeftCell="A37" zoomScaleNormal="100" zoomScaleSheetLayoutView="100" workbookViewId="0">
      <selection activeCell="F39" sqref="F39:H39"/>
    </sheetView>
  </sheetViews>
  <sheetFormatPr defaultColWidth="9.28515625" defaultRowHeight="12" x14ac:dyDescent="0.2"/>
  <cols>
    <col min="1" max="2" width="3.42578125" style="340" customWidth="1"/>
    <col min="3" max="3" width="3.7109375" style="340" customWidth="1"/>
    <col min="4" max="4" width="27.7109375" style="809" customWidth="1"/>
    <col min="5" max="5" width="5.42578125" style="337" customWidth="1"/>
    <col min="6" max="6" width="9.7109375" style="337" customWidth="1"/>
    <col min="7" max="7" width="8.7109375" style="340" customWidth="1"/>
    <col min="8" max="8" width="5.28515625" style="337" customWidth="1"/>
    <col min="9" max="9" width="8.28515625" style="541" customWidth="1"/>
    <col min="10" max="12" width="7.28515625" style="342" customWidth="1"/>
    <col min="13" max="13" width="8.28515625" style="541" customWidth="1"/>
    <col min="14" max="15" width="7.7109375" style="342" customWidth="1"/>
    <col min="16" max="24" width="8.42578125" style="342" customWidth="1"/>
    <col min="25" max="25" width="9.28515625" style="337" customWidth="1"/>
    <col min="26" max="16384" width="9.28515625" style="337"/>
  </cols>
  <sheetData>
    <row r="1" spans="1:24" ht="47.25" customHeight="1" x14ac:dyDescent="0.2">
      <c r="A1" s="641"/>
      <c r="B1" s="642"/>
      <c r="C1" s="642"/>
      <c r="D1" s="643"/>
      <c r="E1" s="644"/>
      <c r="F1" s="644"/>
      <c r="G1" s="642"/>
      <c r="H1" s="644"/>
      <c r="I1" s="645"/>
      <c r="J1" s="645"/>
      <c r="K1" s="645"/>
      <c r="L1" s="2945"/>
      <c r="M1" s="2945"/>
      <c r="N1" s="2945"/>
      <c r="O1" s="2945"/>
      <c r="P1" s="2945"/>
      <c r="Q1" s="2945"/>
      <c r="R1" s="2945"/>
      <c r="S1" s="2945"/>
      <c r="T1" s="2945"/>
      <c r="U1" s="2945" t="s">
        <v>305</v>
      </c>
      <c r="V1" s="2945"/>
      <c r="W1" s="2945"/>
      <c r="X1" s="2946"/>
    </row>
    <row r="2" spans="1:24" ht="15.75" customHeight="1" x14ac:dyDescent="0.2">
      <c r="A2" s="2947" t="s">
        <v>306</v>
      </c>
      <c r="B2" s="2948"/>
      <c r="C2" s="2948"/>
      <c r="D2" s="2948"/>
      <c r="E2" s="2948"/>
      <c r="F2" s="2948"/>
      <c r="G2" s="2948"/>
      <c r="H2" s="2948"/>
      <c r="I2" s="2948"/>
      <c r="J2" s="2948"/>
      <c r="K2" s="2948"/>
      <c r="L2" s="2948"/>
      <c r="M2" s="2948"/>
      <c r="N2" s="2948"/>
      <c r="O2" s="2948"/>
      <c r="P2" s="2948"/>
      <c r="Q2" s="2948"/>
      <c r="R2" s="2948"/>
      <c r="S2" s="2948"/>
      <c r="T2" s="2948"/>
      <c r="U2" s="2948"/>
      <c r="V2" s="2948"/>
      <c r="W2" s="2948"/>
      <c r="X2" s="2949"/>
    </row>
    <row r="3" spans="1:24" thickBot="1" x14ac:dyDescent="0.25">
      <c r="A3" s="2950"/>
      <c r="B3" s="2951"/>
      <c r="C3" s="2951"/>
      <c r="D3" s="2951"/>
      <c r="E3" s="2951"/>
      <c r="F3" s="2951"/>
      <c r="G3" s="2951"/>
      <c r="H3" s="2951"/>
      <c r="I3" s="2238"/>
      <c r="J3" s="2238"/>
      <c r="K3" s="2952"/>
      <c r="L3" s="2952"/>
      <c r="M3" s="2238"/>
      <c r="N3" s="2238"/>
      <c r="O3" s="2952"/>
      <c r="P3" s="2952"/>
      <c r="Q3" s="2239"/>
      <c r="R3" s="2239"/>
      <c r="S3" s="647"/>
      <c r="T3" s="647"/>
      <c r="U3" s="2239"/>
      <c r="V3" s="2239"/>
      <c r="W3" s="2240"/>
      <c r="X3" s="2245" t="s">
        <v>2</v>
      </c>
    </row>
    <row r="4" spans="1:24" ht="11.25" customHeight="1" x14ac:dyDescent="0.2">
      <c r="A4" s="2663" t="s">
        <v>3</v>
      </c>
      <c r="B4" s="2650" t="s">
        <v>4</v>
      </c>
      <c r="C4" s="2663" t="s">
        <v>5</v>
      </c>
      <c r="D4" s="2955" t="s">
        <v>6</v>
      </c>
      <c r="E4" s="2663" t="s">
        <v>7</v>
      </c>
      <c r="F4" s="2663" t="s">
        <v>8</v>
      </c>
      <c r="G4" s="2650" t="s">
        <v>9</v>
      </c>
      <c r="H4" s="2663" t="s">
        <v>10</v>
      </c>
      <c r="I4" s="2656" t="s">
        <v>11</v>
      </c>
      <c r="J4" s="2654"/>
      <c r="K4" s="2654"/>
      <c r="L4" s="2655"/>
      <c r="M4" s="2656" t="s">
        <v>12</v>
      </c>
      <c r="N4" s="2654"/>
      <c r="O4" s="2654"/>
      <c r="P4" s="2940"/>
      <c r="Q4" s="2656" t="s">
        <v>13</v>
      </c>
      <c r="R4" s="2654"/>
      <c r="S4" s="2654"/>
      <c r="T4" s="2655"/>
      <c r="U4" s="2656" t="s">
        <v>14</v>
      </c>
      <c r="V4" s="2654"/>
      <c r="W4" s="2654"/>
      <c r="X4" s="2655"/>
    </row>
    <row r="5" spans="1:24" ht="11.25" customHeight="1" x14ac:dyDescent="0.2">
      <c r="A5" s="2664"/>
      <c r="B5" s="2651"/>
      <c r="C5" s="2664"/>
      <c r="D5" s="2956"/>
      <c r="E5" s="2664"/>
      <c r="F5" s="2664"/>
      <c r="G5" s="2651"/>
      <c r="H5" s="2664"/>
      <c r="I5" s="2644" t="s">
        <v>15</v>
      </c>
      <c r="J5" s="2646" t="s">
        <v>16</v>
      </c>
      <c r="K5" s="2646"/>
      <c r="L5" s="2647"/>
      <c r="M5" s="2644" t="s">
        <v>15</v>
      </c>
      <c r="N5" s="2646" t="s">
        <v>16</v>
      </c>
      <c r="O5" s="2646"/>
      <c r="P5" s="2751"/>
      <c r="Q5" s="2943" t="s">
        <v>15</v>
      </c>
      <c r="R5" s="2646" t="s">
        <v>16</v>
      </c>
      <c r="S5" s="2646"/>
      <c r="T5" s="2647"/>
      <c r="U5" s="2943" t="s">
        <v>15</v>
      </c>
      <c r="V5" s="2646" t="s">
        <v>16</v>
      </c>
      <c r="W5" s="2646"/>
      <c r="X5" s="2647"/>
    </row>
    <row r="6" spans="1:24" ht="11.25" customHeight="1" x14ac:dyDescent="0.2">
      <c r="A6" s="2665"/>
      <c r="B6" s="2651"/>
      <c r="C6" s="2665"/>
      <c r="D6" s="2956"/>
      <c r="E6" s="2670"/>
      <c r="F6" s="2665"/>
      <c r="G6" s="2651"/>
      <c r="H6" s="2665"/>
      <c r="I6" s="2644"/>
      <c r="J6" s="344" t="s">
        <v>17</v>
      </c>
      <c r="K6" s="344"/>
      <c r="L6" s="2648" t="s">
        <v>18</v>
      </c>
      <c r="M6" s="2644"/>
      <c r="N6" s="344" t="s">
        <v>17</v>
      </c>
      <c r="O6" s="344"/>
      <c r="P6" s="2941" t="s">
        <v>18</v>
      </c>
      <c r="Q6" s="2943"/>
      <c r="R6" s="2646" t="s">
        <v>307</v>
      </c>
      <c r="S6" s="2646"/>
      <c r="T6" s="2648" t="s">
        <v>18</v>
      </c>
      <c r="U6" s="2943"/>
      <c r="V6" s="2646" t="s">
        <v>307</v>
      </c>
      <c r="W6" s="2646"/>
      <c r="X6" s="2648" t="s">
        <v>18</v>
      </c>
    </row>
    <row r="7" spans="1:24" ht="54" customHeight="1" thickBot="1" x14ac:dyDescent="0.25">
      <c r="A7" s="2666"/>
      <c r="B7" s="2651"/>
      <c r="C7" s="2666"/>
      <c r="D7" s="2956"/>
      <c r="E7" s="2671"/>
      <c r="F7" s="2666"/>
      <c r="G7" s="2651"/>
      <c r="H7" s="2666"/>
      <c r="I7" s="2645"/>
      <c r="J7" s="345" t="s">
        <v>15</v>
      </c>
      <c r="K7" s="346" t="s">
        <v>19</v>
      </c>
      <c r="L7" s="2649"/>
      <c r="M7" s="2645"/>
      <c r="N7" s="345" t="s">
        <v>15</v>
      </c>
      <c r="O7" s="346" t="s">
        <v>19</v>
      </c>
      <c r="P7" s="2942"/>
      <c r="Q7" s="2944"/>
      <c r="R7" s="346" t="s">
        <v>15</v>
      </c>
      <c r="S7" s="346" t="s">
        <v>19</v>
      </c>
      <c r="T7" s="2649"/>
      <c r="U7" s="2944"/>
      <c r="V7" s="346" t="s">
        <v>15</v>
      </c>
      <c r="W7" s="346" t="s">
        <v>19</v>
      </c>
      <c r="X7" s="2649"/>
    </row>
    <row r="8" spans="1:24" s="648" customFormat="1" ht="12" customHeight="1" thickBot="1" x14ac:dyDescent="0.25">
      <c r="A8" s="2930" t="s">
        <v>308</v>
      </c>
      <c r="B8" s="2931"/>
      <c r="C8" s="2931"/>
      <c r="D8" s="2931"/>
      <c r="E8" s="2931"/>
      <c r="F8" s="2931"/>
      <c r="G8" s="2931"/>
      <c r="H8" s="2931"/>
      <c r="I8" s="2931"/>
      <c r="J8" s="2931"/>
      <c r="K8" s="2931"/>
      <c r="L8" s="2931"/>
      <c r="M8" s="2931"/>
      <c r="N8" s="2931"/>
      <c r="O8" s="2931"/>
      <c r="P8" s="2931"/>
      <c r="Q8" s="2931"/>
      <c r="R8" s="2931"/>
      <c r="S8" s="2931"/>
      <c r="T8" s="2931"/>
      <c r="U8" s="2931"/>
      <c r="V8" s="2931"/>
      <c r="W8" s="2931"/>
      <c r="X8" s="2932"/>
    </row>
    <row r="9" spans="1:24" s="648" customFormat="1" ht="12" customHeight="1" thickBot="1" x14ac:dyDescent="0.25">
      <c r="A9" s="2933" t="s">
        <v>309</v>
      </c>
      <c r="B9" s="2934"/>
      <c r="C9" s="2934"/>
      <c r="D9" s="2934"/>
      <c r="E9" s="2934"/>
      <c r="F9" s="2934"/>
      <c r="G9" s="2934"/>
      <c r="H9" s="2934"/>
      <c r="I9" s="2934"/>
      <c r="J9" s="2934"/>
      <c r="K9" s="2934"/>
      <c r="L9" s="2934"/>
      <c r="M9" s="2934"/>
      <c r="N9" s="2934"/>
      <c r="O9" s="2934"/>
      <c r="P9" s="2934"/>
      <c r="Q9" s="2934"/>
      <c r="R9" s="2934"/>
      <c r="S9" s="2934"/>
      <c r="T9" s="2934"/>
      <c r="U9" s="2934"/>
      <c r="V9" s="2934"/>
      <c r="W9" s="2934"/>
      <c r="X9" s="2935"/>
    </row>
    <row r="10" spans="1:24" ht="13.5" customHeight="1" thickBot="1" x14ac:dyDescent="0.25">
      <c r="A10" s="649">
        <v>1</v>
      </c>
      <c r="B10" s="2936" t="s">
        <v>310</v>
      </c>
      <c r="C10" s="2937"/>
      <c r="D10" s="2937"/>
      <c r="E10" s="2937"/>
      <c r="F10" s="2937"/>
      <c r="G10" s="2937"/>
      <c r="H10" s="2937"/>
      <c r="I10" s="2937"/>
      <c r="J10" s="2937"/>
      <c r="K10" s="2937"/>
      <c r="L10" s="2937"/>
      <c r="M10" s="2937"/>
      <c r="N10" s="2937"/>
      <c r="O10" s="2937"/>
      <c r="P10" s="2937"/>
      <c r="Q10" s="2937"/>
      <c r="R10" s="2937"/>
      <c r="S10" s="2937"/>
      <c r="T10" s="2937"/>
      <c r="U10" s="2937"/>
      <c r="V10" s="2937"/>
      <c r="W10" s="2937"/>
      <c r="X10" s="2938"/>
    </row>
    <row r="11" spans="1:24" ht="13.5" customHeight="1" thickBot="1" x14ac:dyDescent="0.25">
      <c r="A11" s="650">
        <v>1</v>
      </c>
      <c r="B11" s="651">
        <v>1</v>
      </c>
      <c r="C11" s="2863" t="s">
        <v>311</v>
      </c>
      <c r="D11" s="2864"/>
      <c r="E11" s="2864"/>
      <c r="F11" s="2864"/>
      <c r="G11" s="2864"/>
      <c r="H11" s="2864"/>
      <c r="I11" s="2864"/>
      <c r="J11" s="2864"/>
      <c r="K11" s="2864"/>
      <c r="L11" s="2864"/>
      <c r="M11" s="2864"/>
      <c r="N11" s="2864"/>
      <c r="O11" s="2864"/>
      <c r="P11" s="2864"/>
      <c r="Q11" s="2864"/>
      <c r="R11" s="2864"/>
      <c r="S11" s="2864"/>
      <c r="T11" s="2864"/>
      <c r="U11" s="2864"/>
      <c r="V11" s="2864"/>
      <c r="W11" s="2864"/>
      <c r="X11" s="2865"/>
    </row>
    <row r="12" spans="1:24" ht="24" customHeight="1" thickBot="1" x14ac:dyDescent="0.25">
      <c r="A12" s="2844">
        <v>1</v>
      </c>
      <c r="B12" s="2845">
        <v>1</v>
      </c>
      <c r="C12" s="2846">
        <v>1</v>
      </c>
      <c r="D12" s="2814" t="s">
        <v>312</v>
      </c>
      <c r="E12" s="2809" t="s">
        <v>290</v>
      </c>
      <c r="F12" s="652" t="s">
        <v>313</v>
      </c>
      <c r="G12" s="2130" t="s">
        <v>314</v>
      </c>
      <c r="H12" s="653" t="s">
        <v>30</v>
      </c>
      <c r="I12" s="654">
        <v>6.6</v>
      </c>
      <c r="J12" s="655"/>
      <c r="K12" s="655"/>
      <c r="L12" s="656">
        <v>6.2</v>
      </c>
      <c r="M12" s="654">
        <v>14.4</v>
      </c>
      <c r="N12" s="655"/>
      <c r="O12" s="655"/>
      <c r="P12" s="657">
        <v>14.4</v>
      </c>
      <c r="Q12" s="658">
        <f>R12+T12</f>
        <v>0</v>
      </c>
      <c r="R12" s="659"/>
      <c r="S12" s="659"/>
      <c r="T12" s="655">
        <v>0</v>
      </c>
      <c r="U12" s="59">
        <f>V12+X12</f>
        <v>0</v>
      </c>
      <c r="V12" s="659"/>
      <c r="W12" s="659"/>
      <c r="X12" s="657">
        <v>0</v>
      </c>
    </row>
    <row r="13" spans="1:24" ht="24" customHeight="1" thickBot="1" x14ac:dyDescent="0.25">
      <c r="A13" s="2844"/>
      <c r="B13" s="2845"/>
      <c r="C13" s="2846"/>
      <c r="D13" s="2814"/>
      <c r="E13" s="2856"/>
      <c r="F13" s="2810" t="s">
        <v>35</v>
      </c>
      <c r="G13" s="2811"/>
      <c r="H13" s="2812"/>
      <c r="I13" s="660">
        <f>J13+L13</f>
        <v>6.2</v>
      </c>
      <c r="J13" s="661"/>
      <c r="K13" s="661"/>
      <c r="L13" s="662">
        <f>L12</f>
        <v>6.2</v>
      </c>
      <c r="M13" s="660">
        <f>N13+P13</f>
        <v>14.4</v>
      </c>
      <c r="N13" s="661"/>
      <c r="O13" s="661"/>
      <c r="P13" s="662">
        <f>P12</f>
        <v>14.4</v>
      </c>
      <c r="Q13" s="663">
        <f>R13+T13</f>
        <v>0</v>
      </c>
      <c r="R13" s="664"/>
      <c r="S13" s="664"/>
      <c r="T13" s="662">
        <f>T12</f>
        <v>0</v>
      </c>
      <c r="U13" s="663">
        <f>V13+X13</f>
        <v>0</v>
      </c>
      <c r="V13" s="664"/>
      <c r="W13" s="664"/>
      <c r="X13" s="662">
        <f>X12</f>
        <v>0</v>
      </c>
    </row>
    <row r="14" spans="1:24" ht="24" customHeight="1" x14ac:dyDescent="0.2">
      <c r="A14" s="2844">
        <v>1</v>
      </c>
      <c r="B14" s="2845">
        <v>1</v>
      </c>
      <c r="C14" s="2846">
        <v>2</v>
      </c>
      <c r="D14" s="2814" t="s">
        <v>315</v>
      </c>
      <c r="E14" s="2809" t="s">
        <v>316</v>
      </c>
      <c r="F14" s="2847" t="s">
        <v>317</v>
      </c>
      <c r="G14" s="2806" t="s">
        <v>318</v>
      </c>
      <c r="H14" s="2215" t="s">
        <v>202</v>
      </c>
      <c r="I14" s="665">
        <v>825</v>
      </c>
      <c r="J14" s="66"/>
      <c r="K14" s="66"/>
      <c r="L14" s="56">
        <v>825</v>
      </c>
      <c r="M14" s="665">
        <v>285</v>
      </c>
      <c r="N14" s="66"/>
      <c r="O14" s="66"/>
      <c r="P14" s="56">
        <v>285</v>
      </c>
      <c r="Q14" s="665">
        <f>R14+T14</f>
        <v>0</v>
      </c>
      <c r="R14" s="66"/>
      <c r="S14" s="66"/>
      <c r="T14" s="56">
        <v>0</v>
      </c>
      <c r="U14" s="665">
        <f>V14+X14</f>
        <v>0</v>
      </c>
      <c r="V14" s="66"/>
      <c r="W14" s="66"/>
      <c r="X14" s="56">
        <v>0</v>
      </c>
    </row>
    <row r="15" spans="1:24" ht="24" customHeight="1" thickBot="1" x14ac:dyDescent="0.25">
      <c r="A15" s="2844"/>
      <c r="B15" s="2845"/>
      <c r="C15" s="2846"/>
      <c r="D15" s="2814"/>
      <c r="E15" s="2809"/>
      <c r="F15" s="2939"/>
      <c r="G15" s="2808"/>
      <c r="H15" s="667" t="s">
        <v>244</v>
      </c>
      <c r="I15" s="668">
        <v>339</v>
      </c>
      <c r="J15" s="75"/>
      <c r="K15" s="75"/>
      <c r="L15" s="76">
        <v>339</v>
      </c>
      <c r="M15" s="668">
        <v>589</v>
      </c>
      <c r="N15" s="75"/>
      <c r="O15" s="75"/>
      <c r="P15" s="76">
        <v>589</v>
      </c>
      <c r="Q15" s="668"/>
      <c r="R15" s="75"/>
      <c r="S15" s="75"/>
      <c r="T15" s="76"/>
      <c r="U15" s="668"/>
      <c r="V15" s="75"/>
      <c r="W15" s="75"/>
      <c r="X15" s="76"/>
    </row>
    <row r="16" spans="1:24" ht="24" customHeight="1" thickBot="1" x14ac:dyDescent="0.25">
      <c r="A16" s="2844"/>
      <c r="B16" s="2845"/>
      <c r="C16" s="2846"/>
      <c r="D16" s="2814"/>
      <c r="E16" s="2856"/>
      <c r="F16" s="2810" t="s">
        <v>35</v>
      </c>
      <c r="G16" s="2811"/>
      <c r="H16" s="2812"/>
      <c r="I16" s="660">
        <f>J16+L16</f>
        <v>1164</v>
      </c>
      <c r="J16" s="661"/>
      <c r="K16" s="661"/>
      <c r="L16" s="662">
        <f>L14+L15</f>
        <v>1164</v>
      </c>
      <c r="M16" s="660">
        <f t="shared" ref="M16:M24" si="0">N16+P16</f>
        <v>874</v>
      </c>
      <c r="N16" s="661"/>
      <c r="O16" s="661"/>
      <c r="P16" s="662">
        <v>874</v>
      </c>
      <c r="Q16" s="663">
        <f t="shared" ref="Q16:Q24" si="1">R16+T16</f>
        <v>0</v>
      </c>
      <c r="R16" s="664"/>
      <c r="S16" s="664"/>
      <c r="T16" s="662">
        <f>T14</f>
        <v>0</v>
      </c>
      <c r="U16" s="663">
        <f t="shared" ref="U16:U24" si="2">V16+X16</f>
        <v>0</v>
      </c>
      <c r="V16" s="664"/>
      <c r="W16" s="664"/>
      <c r="X16" s="662">
        <f>X14</f>
        <v>0</v>
      </c>
    </row>
    <row r="17" spans="1:24" ht="24" customHeight="1" thickBot="1" x14ac:dyDescent="0.25">
      <c r="A17" s="2844">
        <v>1</v>
      </c>
      <c r="B17" s="2845">
        <v>1</v>
      </c>
      <c r="C17" s="2846">
        <v>3</v>
      </c>
      <c r="D17" s="2814" t="s">
        <v>319</v>
      </c>
      <c r="E17" s="2809" t="s">
        <v>316</v>
      </c>
      <c r="F17" s="652" t="s">
        <v>317</v>
      </c>
      <c r="G17" s="2126" t="s">
        <v>320</v>
      </c>
      <c r="H17" s="670" t="s">
        <v>202</v>
      </c>
      <c r="I17" s="671">
        <v>596</v>
      </c>
      <c r="J17" s="672"/>
      <c r="K17" s="672"/>
      <c r="L17" s="61">
        <v>596</v>
      </c>
      <c r="M17" s="671">
        <f t="shared" si="0"/>
        <v>1065</v>
      </c>
      <c r="N17" s="672"/>
      <c r="O17" s="672"/>
      <c r="P17" s="61">
        <v>1065</v>
      </c>
      <c r="Q17" s="59">
        <f t="shared" si="1"/>
        <v>4344</v>
      </c>
      <c r="R17" s="60"/>
      <c r="S17" s="60"/>
      <c r="T17" s="61">
        <v>4344</v>
      </c>
      <c r="U17" s="59">
        <f t="shared" si="2"/>
        <v>2412</v>
      </c>
      <c r="V17" s="60"/>
      <c r="W17" s="60"/>
      <c r="X17" s="61">
        <v>2412</v>
      </c>
    </row>
    <row r="18" spans="1:24" ht="24" customHeight="1" thickBot="1" x14ac:dyDescent="0.25">
      <c r="A18" s="2844"/>
      <c r="B18" s="2845"/>
      <c r="C18" s="2838"/>
      <c r="D18" s="2804"/>
      <c r="E18" s="2841"/>
      <c r="F18" s="2810" t="s">
        <v>35</v>
      </c>
      <c r="G18" s="2811"/>
      <c r="H18" s="2812"/>
      <c r="I18" s="660">
        <f>J18+L18</f>
        <v>596</v>
      </c>
      <c r="J18" s="661"/>
      <c r="K18" s="661"/>
      <c r="L18" s="662">
        <f>L17</f>
        <v>596</v>
      </c>
      <c r="M18" s="660">
        <f t="shared" si="0"/>
        <v>1065</v>
      </c>
      <c r="N18" s="661"/>
      <c r="O18" s="661"/>
      <c r="P18" s="661">
        <f>P17</f>
        <v>1065</v>
      </c>
      <c r="Q18" s="663">
        <f t="shared" si="1"/>
        <v>4344</v>
      </c>
      <c r="R18" s="664"/>
      <c r="S18" s="664"/>
      <c r="T18" s="662">
        <f>T17</f>
        <v>4344</v>
      </c>
      <c r="U18" s="663">
        <f t="shared" si="2"/>
        <v>2412</v>
      </c>
      <c r="V18" s="664"/>
      <c r="W18" s="664"/>
      <c r="X18" s="662">
        <f>X17</f>
        <v>2412</v>
      </c>
    </row>
    <row r="19" spans="1:24" ht="24" customHeight="1" thickBot="1" x14ac:dyDescent="0.25">
      <c r="A19" s="2844">
        <v>1</v>
      </c>
      <c r="B19" s="2845">
        <v>1</v>
      </c>
      <c r="C19" s="2846">
        <v>4</v>
      </c>
      <c r="D19" s="2814" t="s">
        <v>321</v>
      </c>
      <c r="E19" s="2809" t="s">
        <v>316</v>
      </c>
      <c r="F19" s="652" t="s">
        <v>317</v>
      </c>
      <c r="G19" s="2126" t="s">
        <v>322</v>
      </c>
      <c r="H19" s="670" t="s">
        <v>202</v>
      </c>
      <c r="I19" s="671">
        <v>260</v>
      </c>
      <c r="J19" s="672"/>
      <c r="K19" s="672"/>
      <c r="L19" s="61">
        <v>260</v>
      </c>
      <c r="M19" s="671">
        <f t="shared" si="0"/>
        <v>956</v>
      </c>
      <c r="N19" s="672"/>
      <c r="O19" s="672"/>
      <c r="P19" s="61">
        <v>956</v>
      </c>
      <c r="Q19" s="59">
        <f t="shared" si="1"/>
        <v>656</v>
      </c>
      <c r="R19" s="60"/>
      <c r="S19" s="60"/>
      <c r="T19" s="61">
        <v>656</v>
      </c>
      <c r="U19" s="59">
        <f t="shared" si="2"/>
        <v>651</v>
      </c>
      <c r="V19" s="60"/>
      <c r="W19" s="60"/>
      <c r="X19" s="61">
        <v>651</v>
      </c>
    </row>
    <row r="20" spans="1:24" ht="24" customHeight="1" thickBot="1" x14ac:dyDescent="0.25">
      <c r="A20" s="2844"/>
      <c r="B20" s="2845"/>
      <c r="C20" s="2838"/>
      <c r="D20" s="2804"/>
      <c r="E20" s="2841"/>
      <c r="F20" s="2810" t="s">
        <v>35</v>
      </c>
      <c r="G20" s="2811"/>
      <c r="H20" s="2812"/>
      <c r="I20" s="660">
        <f>J20+L20</f>
        <v>260</v>
      </c>
      <c r="J20" s="661"/>
      <c r="K20" s="661"/>
      <c r="L20" s="662">
        <f>L19</f>
        <v>260</v>
      </c>
      <c r="M20" s="660">
        <f t="shared" si="0"/>
        <v>956</v>
      </c>
      <c r="N20" s="661"/>
      <c r="O20" s="661"/>
      <c r="P20" s="661">
        <f>P19</f>
        <v>956</v>
      </c>
      <c r="Q20" s="663">
        <f t="shared" si="1"/>
        <v>656</v>
      </c>
      <c r="R20" s="664"/>
      <c r="S20" s="664"/>
      <c r="T20" s="662">
        <f>T19</f>
        <v>656</v>
      </c>
      <c r="U20" s="663">
        <f t="shared" si="2"/>
        <v>651</v>
      </c>
      <c r="V20" s="664"/>
      <c r="W20" s="664"/>
      <c r="X20" s="662">
        <f>X19</f>
        <v>651</v>
      </c>
    </row>
    <row r="21" spans="1:24" ht="24" customHeight="1" thickBot="1" x14ac:dyDescent="0.25">
      <c r="A21" s="2844">
        <v>1</v>
      </c>
      <c r="B21" s="2845">
        <v>1</v>
      </c>
      <c r="C21" s="2846">
        <v>5</v>
      </c>
      <c r="D21" s="2814" t="s">
        <v>323</v>
      </c>
      <c r="E21" s="2809" t="s">
        <v>316</v>
      </c>
      <c r="F21" s="652" t="s">
        <v>317</v>
      </c>
      <c r="G21" s="2126" t="s">
        <v>324</v>
      </c>
      <c r="H21" s="670" t="s">
        <v>202</v>
      </c>
      <c r="I21" s="671">
        <v>529</v>
      </c>
      <c r="J21" s="672"/>
      <c r="K21" s="672"/>
      <c r="L21" s="61">
        <v>529</v>
      </c>
      <c r="M21" s="671">
        <f t="shared" si="0"/>
        <v>340</v>
      </c>
      <c r="N21" s="672"/>
      <c r="O21" s="672"/>
      <c r="P21" s="61">
        <v>340</v>
      </c>
      <c r="Q21" s="59">
        <f t="shared" si="1"/>
        <v>312</v>
      </c>
      <c r="R21" s="60"/>
      <c r="S21" s="60"/>
      <c r="T21" s="61">
        <v>312</v>
      </c>
      <c r="U21" s="59">
        <f t="shared" si="2"/>
        <v>407</v>
      </c>
      <c r="V21" s="60"/>
      <c r="W21" s="60"/>
      <c r="X21" s="61">
        <v>407</v>
      </c>
    </row>
    <row r="22" spans="1:24" ht="24" customHeight="1" thickBot="1" x14ac:dyDescent="0.25">
      <c r="A22" s="2844"/>
      <c r="B22" s="2845"/>
      <c r="C22" s="2838"/>
      <c r="D22" s="2804"/>
      <c r="E22" s="2841"/>
      <c r="F22" s="2810" t="s">
        <v>35</v>
      </c>
      <c r="G22" s="2811"/>
      <c r="H22" s="2812"/>
      <c r="I22" s="660">
        <f>J22+L22</f>
        <v>529</v>
      </c>
      <c r="J22" s="661"/>
      <c r="K22" s="661"/>
      <c r="L22" s="662">
        <f>L21</f>
        <v>529</v>
      </c>
      <c r="M22" s="660">
        <f t="shared" si="0"/>
        <v>340</v>
      </c>
      <c r="N22" s="661"/>
      <c r="O22" s="661"/>
      <c r="P22" s="661">
        <f>P21</f>
        <v>340</v>
      </c>
      <c r="Q22" s="663">
        <f t="shared" si="1"/>
        <v>312</v>
      </c>
      <c r="R22" s="664"/>
      <c r="S22" s="664"/>
      <c r="T22" s="662">
        <f>T21</f>
        <v>312</v>
      </c>
      <c r="U22" s="663">
        <f t="shared" si="2"/>
        <v>407</v>
      </c>
      <c r="V22" s="664"/>
      <c r="W22" s="664"/>
      <c r="X22" s="662">
        <f>X21</f>
        <v>407</v>
      </c>
    </row>
    <row r="23" spans="1:24" ht="24" customHeight="1" thickBot="1" x14ac:dyDescent="0.25">
      <c r="A23" s="2844">
        <v>1</v>
      </c>
      <c r="B23" s="2845">
        <v>1</v>
      </c>
      <c r="C23" s="2846">
        <v>6</v>
      </c>
      <c r="D23" s="2814" t="s">
        <v>325</v>
      </c>
      <c r="E23" s="2809" t="s">
        <v>316</v>
      </c>
      <c r="F23" s="652" t="s">
        <v>317</v>
      </c>
      <c r="G23" s="2126" t="s">
        <v>326</v>
      </c>
      <c r="H23" s="670" t="s">
        <v>202</v>
      </c>
      <c r="I23" s="671">
        <v>47</v>
      </c>
      <c r="J23" s="672"/>
      <c r="K23" s="672"/>
      <c r="L23" s="61">
        <v>47</v>
      </c>
      <c r="M23" s="671">
        <f t="shared" si="0"/>
        <v>85</v>
      </c>
      <c r="N23" s="672"/>
      <c r="O23" s="672"/>
      <c r="P23" s="61">
        <v>85</v>
      </c>
      <c r="Q23" s="59">
        <f t="shared" si="1"/>
        <v>365</v>
      </c>
      <c r="R23" s="60"/>
      <c r="S23" s="60"/>
      <c r="T23" s="61">
        <v>365</v>
      </c>
      <c r="U23" s="59">
        <f t="shared" si="2"/>
        <v>518</v>
      </c>
      <c r="V23" s="60"/>
      <c r="W23" s="60"/>
      <c r="X23" s="61">
        <v>518</v>
      </c>
    </row>
    <row r="24" spans="1:24" ht="24" customHeight="1" thickBot="1" x14ac:dyDescent="0.25">
      <c r="A24" s="2844"/>
      <c r="B24" s="2845"/>
      <c r="C24" s="2838"/>
      <c r="D24" s="2804"/>
      <c r="E24" s="2841"/>
      <c r="F24" s="2810" t="s">
        <v>35</v>
      </c>
      <c r="G24" s="2811"/>
      <c r="H24" s="2812"/>
      <c r="I24" s="660">
        <f>J24+L24</f>
        <v>47</v>
      </c>
      <c r="J24" s="661"/>
      <c r="K24" s="661"/>
      <c r="L24" s="662">
        <f>L23</f>
        <v>47</v>
      </c>
      <c r="M24" s="660">
        <f t="shared" si="0"/>
        <v>85</v>
      </c>
      <c r="N24" s="661"/>
      <c r="O24" s="661"/>
      <c r="P24" s="661">
        <f>P23</f>
        <v>85</v>
      </c>
      <c r="Q24" s="663">
        <f t="shared" si="1"/>
        <v>365</v>
      </c>
      <c r="R24" s="664"/>
      <c r="S24" s="664"/>
      <c r="T24" s="662">
        <f>T23</f>
        <v>365</v>
      </c>
      <c r="U24" s="663">
        <f t="shared" si="2"/>
        <v>518</v>
      </c>
      <c r="V24" s="664"/>
      <c r="W24" s="664"/>
      <c r="X24" s="662">
        <f>X23</f>
        <v>518</v>
      </c>
    </row>
    <row r="25" spans="1:24" ht="12" customHeight="1" thickBot="1" x14ac:dyDescent="0.25">
      <c r="A25" s="2139">
        <v>1</v>
      </c>
      <c r="B25" s="2135">
        <v>1</v>
      </c>
      <c r="C25" s="2922" t="s">
        <v>234</v>
      </c>
      <c r="D25" s="2923"/>
      <c r="E25" s="2923"/>
      <c r="F25" s="2924"/>
      <c r="G25" s="2924"/>
      <c r="H25" s="2925"/>
      <c r="I25" s="673">
        <f t="shared" ref="I25" si="3">L25+J25</f>
        <v>2602.1999999999998</v>
      </c>
      <c r="J25" s="674">
        <f>SUM(J24,J22,J20,J18,J16,J13)</f>
        <v>0</v>
      </c>
      <c r="K25" s="674">
        <f t="shared" ref="K25:L25" si="4">SUM(K24,K22,K20,K18,K16,K13)</f>
        <v>0</v>
      </c>
      <c r="L25" s="674">
        <f t="shared" si="4"/>
        <v>2602.1999999999998</v>
      </c>
      <c r="M25" s="673">
        <f t="shared" ref="M25" si="5">P25+N25</f>
        <v>3334.4</v>
      </c>
      <c r="N25" s="674">
        <f>SUM(N24,N22,N20,N18,N16,N13)</f>
        <v>0</v>
      </c>
      <c r="O25" s="674">
        <f t="shared" ref="O25:P25" si="6">SUM(O24,O22,O20,O18,O16,O13)</f>
        <v>0</v>
      </c>
      <c r="P25" s="674">
        <f t="shared" si="6"/>
        <v>3334.4</v>
      </c>
      <c r="Q25" s="673">
        <f t="shared" ref="Q25" si="7">T25+R25</f>
        <v>5677</v>
      </c>
      <c r="R25" s="674">
        <f>SUM(R24,R22,R20,R18,R16,R13)</f>
        <v>0</v>
      </c>
      <c r="S25" s="674">
        <f t="shared" ref="S25:T25" si="8">SUM(S24,S22,S20,S18,S16,S13)</f>
        <v>0</v>
      </c>
      <c r="T25" s="674">
        <f t="shared" si="8"/>
        <v>5677</v>
      </c>
      <c r="U25" s="673">
        <f t="shared" ref="U25" si="9">X25+V25</f>
        <v>3988</v>
      </c>
      <c r="V25" s="674">
        <f>SUM(V24,V22,V20,V18,V16,V13)</f>
        <v>0</v>
      </c>
      <c r="W25" s="674">
        <f t="shared" ref="W25:X25" si="10">SUM(W24,W22,W20,W18,W16,W13)</f>
        <v>0</v>
      </c>
      <c r="X25" s="2246">
        <f t="shared" si="10"/>
        <v>3988</v>
      </c>
    </row>
    <row r="26" spans="1:24" ht="12" customHeight="1" thickBot="1" x14ac:dyDescent="0.25">
      <c r="A26" s="675">
        <v>1</v>
      </c>
      <c r="B26" s="676">
        <v>2</v>
      </c>
      <c r="C26" s="2863" t="s">
        <v>327</v>
      </c>
      <c r="D26" s="2864"/>
      <c r="E26" s="2864"/>
      <c r="F26" s="2864"/>
      <c r="G26" s="2864"/>
      <c r="H26" s="2864"/>
      <c r="I26" s="2864"/>
      <c r="J26" s="2864"/>
      <c r="K26" s="2864"/>
      <c r="L26" s="2864"/>
      <c r="M26" s="2864"/>
      <c r="N26" s="2864"/>
      <c r="O26" s="2864"/>
      <c r="P26" s="2864"/>
      <c r="Q26" s="2864"/>
      <c r="R26" s="2864"/>
      <c r="S26" s="2864"/>
      <c r="T26" s="2864"/>
      <c r="U26" s="2864"/>
      <c r="V26" s="2864"/>
      <c r="W26" s="2864"/>
      <c r="X26" s="2865"/>
    </row>
    <row r="27" spans="1:24" ht="30" customHeight="1" x14ac:dyDescent="0.2">
      <c r="A27" s="2813">
        <v>1</v>
      </c>
      <c r="B27" s="2537">
        <v>2</v>
      </c>
      <c r="C27" s="2494">
        <v>1</v>
      </c>
      <c r="D27" s="2831" t="s">
        <v>328</v>
      </c>
      <c r="E27" s="2926" t="s">
        <v>114</v>
      </c>
      <c r="F27" s="2501" t="s">
        <v>317</v>
      </c>
      <c r="G27" s="2501" t="s">
        <v>329</v>
      </c>
      <c r="H27" s="376" t="s">
        <v>32</v>
      </c>
      <c r="I27" s="744">
        <f>J27+L27</f>
        <v>0.39999999999999858</v>
      </c>
      <c r="J27" s="66"/>
      <c r="K27" s="66"/>
      <c r="L27" s="56">
        <f>50-49.6</f>
        <v>0.39999999999999858</v>
      </c>
      <c r="M27" s="744">
        <f>N27+P27</f>
        <v>0</v>
      </c>
      <c r="N27" s="66"/>
      <c r="O27" s="66"/>
      <c r="P27" s="666"/>
      <c r="Q27" s="665">
        <f t="shared" ref="Q27" si="11">SUM(R27,T27)</f>
        <v>0</v>
      </c>
      <c r="R27" s="66"/>
      <c r="S27" s="66"/>
      <c r="T27" s="56"/>
      <c r="U27" s="665"/>
      <c r="V27" s="66"/>
      <c r="W27" s="66"/>
      <c r="X27" s="56"/>
    </row>
    <row r="28" spans="1:24" ht="30" customHeight="1" thickBot="1" x14ac:dyDescent="0.25">
      <c r="A28" s="2813"/>
      <c r="B28" s="2537"/>
      <c r="C28" s="2494"/>
      <c r="D28" s="2831"/>
      <c r="E28" s="2926"/>
      <c r="F28" s="2502"/>
      <c r="G28" s="2502"/>
      <c r="H28" s="677" t="s">
        <v>30</v>
      </c>
      <c r="I28" s="2250"/>
      <c r="J28" s="1377"/>
      <c r="K28" s="1377"/>
      <c r="L28" s="57"/>
      <c r="M28" s="2251">
        <f>N28+P28</f>
        <v>485.4</v>
      </c>
      <c r="N28" s="2252"/>
      <c r="O28" s="2252"/>
      <c r="P28" s="2253">
        <f>485.4</f>
        <v>485.4</v>
      </c>
      <c r="Q28" s="2254">
        <v>280</v>
      </c>
      <c r="R28" s="2252"/>
      <c r="S28" s="2252"/>
      <c r="T28" s="2024">
        <f>250+30</f>
        <v>280</v>
      </c>
      <c r="U28" s="2255"/>
      <c r="V28" s="1377"/>
      <c r="W28" s="1377"/>
      <c r="X28" s="57"/>
    </row>
    <row r="29" spans="1:24" ht="25.5" customHeight="1" thickBot="1" x14ac:dyDescent="0.25">
      <c r="A29" s="2813"/>
      <c r="B29" s="2537"/>
      <c r="C29" s="2526"/>
      <c r="D29" s="2832"/>
      <c r="E29" s="2815"/>
      <c r="F29" s="2927" t="s">
        <v>35</v>
      </c>
      <c r="G29" s="2928"/>
      <c r="H29" s="2929"/>
      <c r="I29" s="678">
        <f>SUM(J29,L29)</f>
        <v>0.39999999999999858</v>
      </c>
      <c r="J29" s="679">
        <f>SUM(J27,J28)</f>
        <v>0</v>
      </c>
      <c r="K29" s="679">
        <f t="shared" ref="K29:L29" si="12">SUM(K27,K28)</f>
        <v>0</v>
      </c>
      <c r="L29" s="680">
        <f t="shared" si="12"/>
        <v>0.39999999999999858</v>
      </c>
      <c r="M29" s="681">
        <f>SUM(N29,P29)</f>
        <v>485.4</v>
      </c>
      <c r="N29" s="679">
        <f>SUM(N27,N28)</f>
        <v>0</v>
      </c>
      <c r="O29" s="679">
        <f t="shared" ref="O29:P29" si="13">SUM(O27,O28)</f>
        <v>0</v>
      </c>
      <c r="P29" s="680">
        <f t="shared" si="13"/>
        <v>485.4</v>
      </c>
      <c r="Q29" s="682">
        <f>SUM(R29,T29)</f>
        <v>280</v>
      </c>
      <c r="R29" s="679">
        <f>SUM(R27,R28)</f>
        <v>0</v>
      </c>
      <c r="S29" s="679">
        <f t="shared" ref="S29:T29" si="14">SUM(S27,S28)</f>
        <v>0</v>
      </c>
      <c r="T29" s="680">
        <f t="shared" si="14"/>
        <v>280</v>
      </c>
      <c r="U29" s="682">
        <f>SUM(V29,X29)</f>
        <v>0</v>
      </c>
      <c r="V29" s="679">
        <f>SUM(V27,V28)</f>
        <v>0</v>
      </c>
      <c r="W29" s="679">
        <f t="shared" ref="W29:X29" si="15">SUM(W27,W28)</f>
        <v>0</v>
      </c>
      <c r="X29" s="680">
        <f t="shared" si="15"/>
        <v>0</v>
      </c>
    </row>
    <row r="30" spans="1:24" ht="27.6" customHeight="1" x14ac:dyDescent="0.2">
      <c r="A30" s="2921">
        <v>1</v>
      </c>
      <c r="B30" s="2845">
        <v>2</v>
      </c>
      <c r="C30" s="2846">
        <v>2</v>
      </c>
      <c r="D30" s="2823" t="s">
        <v>330</v>
      </c>
      <c r="E30" s="2856" t="s">
        <v>114</v>
      </c>
      <c r="F30" s="2847" t="s">
        <v>317</v>
      </c>
      <c r="G30" s="2847" t="s">
        <v>331</v>
      </c>
      <c r="H30" s="2256" t="s">
        <v>30</v>
      </c>
      <c r="I30" s="665">
        <f>SUM(J30,L30)</f>
        <v>58.300000000000004</v>
      </c>
      <c r="J30" s="66"/>
      <c r="K30" s="66"/>
      <c r="L30" s="56">
        <f>87.2-28.9</f>
        <v>58.300000000000004</v>
      </c>
      <c r="M30" s="1304">
        <f>SUM(N30,P30)</f>
        <v>292</v>
      </c>
      <c r="N30" s="718"/>
      <c r="O30" s="718"/>
      <c r="P30" s="720">
        <v>292</v>
      </c>
      <c r="Q30" s="1304">
        <f>SUM(R30,T30)</f>
        <v>100</v>
      </c>
      <c r="R30" s="718"/>
      <c r="S30" s="718"/>
      <c r="T30" s="720">
        <v>100</v>
      </c>
      <c r="U30" s="1304"/>
      <c r="V30" s="718"/>
      <c r="W30" s="718"/>
      <c r="X30" s="720"/>
    </row>
    <row r="31" spans="1:24" ht="27.6" customHeight="1" x14ac:dyDescent="0.2">
      <c r="A31" s="2921"/>
      <c r="B31" s="2845"/>
      <c r="C31" s="2846"/>
      <c r="D31" s="2823"/>
      <c r="E31" s="2856"/>
      <c r="F31" s="2848"/>
      <c r="G31" s="2848"/>
      <c r="H31" s="2099" t="s">
        <v>116</v>
      </c>
      <c r="I31" s="2257">
        <f t="shared" ref="I31:I32" si="16">SUM(J31,L31)</f>
        <v>0</v>
      </c>
      <c r="J31" s="762"/>
      <c r="K31" s="762"/>
      <c r="L31" s="763">
        <f>232.8-232.8</f>
        <v>0</v>
      </c>
      <c r="M31" s="2258"/>
      <c r="N31" s="734"/>
      <c r="O31" s="734"/>
      <c r="P31" s="735"/>
      <c r="Q31" s="2258"/>
      <c r="R31" s="734"/>
      <c r="S31" s="734"/>
      <c r="T31" s="735"/>
      <c r="U31" s="2258"/>
      <c r="V31" s="734"/>
      <c r="W31" s="734"/>
      <c r="X31" s="735"/>
    </row>
    <row r="32" spans="1:24" ht="27.6" customHeight="1" thickBot="1" x14ac:dyDescent="0.25">
      <c r="A32" s="2921"/>
      <c r="B32" s="2845"/>
      <c r="C32" s="2846"/>
      <c r="D32" s="2823"/>
      <c r="E32" s="2856"/>
      <c r="F32" s="2848"/>
      <c r="G32" s="2848"/>
      <c r="H32" s="2116" t="s">
        <v>32</v>
      </c>
      <c r="I32" s="2259">
        <f t="shared" si="16"/>
        <v>111</v>
      </c>
      <c r="J32" s="70"/>
      <c r="K32" s="70"/>
      <c r="L32" s="71">
        <v>111</v>
      </c>
      <c r="M32" s="1271"/>
      <c r="N32" s="726"/>
      <c r="O32" s="726"/>
      <c r="P32" s="727"/>
      <c r="Q32" s="1271"/>
      <c r="R32" s="726"/>
      <c r="S32" s="726"/>
      <c r="T32" s="727"/>
      <c r="U32" s="1271"/>
      <c r="V32" s="726"/>
      <c r="W32" s="726"/>
      <c r="X32" s="727"/>
    </row>
    <row r="33" spans="1:24" ht="29.1" customHeight="1" thickBot="1" x14ac:dyDescent="0.25">
      <c r="A33" s="2921"/>
      <c r="B33" s="2845"/>
      <c r="C33" s="2846"/>
      <c r="D33" s="2823"/>
      <c r="E33" s="2856"/>
      <c r="F33" s="2810" t="s">
        <v>35</v>
      </c>
      <c r="G33" s="2811"/>
      <c r="H33" s="2812"/>
      <c r="I33" s="660">
        <f>SUM(J33,L33)</f>
        <v>169.3</v>
      </c>
      <c r="J33" s="664">
        <f>SUM(J30:J32)</f>
        <v>0</v>
      </c>
      <c r="K33" s="664">
        <f t="shared" ref="K33:L33" si="17">SUM(K30:K32)</f>
        <v>0</v>
      </c>
      <c r="L33" s="664">
        <f t="shared" si="17"/>
        <v>169.3</v>
      </c>
      <c r="M33" s="660">
        <f>SUM(N33,P33)</f>
        <v>292</v>
      </c>
      <c r="N33" s="664">
        <f>SUM(N30:N32)</f>
        <v>0</v>
      </c>
      <c r="O33" s="664">
        <f t="shared" ref="O33:P33" si="18">SUM(O30:O32)</f>
        <v>0</v>
      </c>
      <c r="P33" s="664">
        <f t="shared" si="18"/>
        <v>292</v>
      </c>
      <c r="Q33" s="663">
        <f>SUM(R33,T33)</f>
        <v>100</v>
      </c>
      <c r="R33" s="664">
        <f>SUM(R30:R32)</f>
        <v>0</v>
      </c>
      <c r="S33" s="664">
        <f t="shared" ref="S33:T33" si="19">SUM(S30:S32)</f>
        <v>0</v>
      </c>
      <c r="T33" s="664">
        <f t="shared" si="19"/>
        <v>100</v>
      </c>
      <c r="U33" s="663">
        <f>SUM(V33,X33)</f>
        <v>0</v>
      </c>
      <c r="V33" s="664">
        <f>SUM(V30:V32)</f>
        <v>0</v>
      </c>
      <c r="W33" s="664">
        <f t="shared" ref="W33:X33" si="20">SUM(W30:W32)</f>
        <v>0</v>
      </c>
      <c r="X33" s="662">
        <f t="shared" si="20"/>
        <v>0</v>
      </c>
    </row>
    <row r="34" spans="1:24" ht="23.1" customHeight="1" thickBot="1" x14ac:dyDescent="0.25">
      <c r="A34" s="2921">
        <v>1</v>
      </c>
      <c r="B34" s="2845">
        <v>2</v>
      </c>
      <c r="C34" s="2846">
        <v>3</v>
      </c>
      <c r="D34" s="2823" t="s">
        <v>332</v>
      </c>
      <c r="E34" s="2856" t="s">
        <v>114</v>
      </c>
      <c r="F34" s="2127" t="s">
        <v>317</v>
      </c>
      <c r="G34" s="2127" t="s">
        <v>333</v>
      </c>
      <c r="H34" s="684" t="s">
        <v>30</v>
      </c>
      <c r="I34" s="59">
        <v>57.1</v>
      </c>
      <c r="J34" s="709">
        <v>57.1</v>
      </c>
      <c r="K34" s="709"/>
      <c r="L34" s="77"/>
      <c r="M34" s="59">
        <v>42.9</v>
      </c>
      <c r="N34" s="60">
        <v>42.9</v>
      </c>
      <c r="O34" s="60"/>
      <c r="P34" s="61"/>
      <c r="Q34" s="62">
        <f>R34+T34</f>
        <v>50</v>
      </c>
      <c r="R34" s="60">
        <v>50</v>
      </c>
      <c r="S34" s="60"/>
      <c r="T34" s="56"/>
      <c r="U34" s="62">
        <f>V34+X34</f>
        <v>0</v>
      </c>
      <c r="V34" s="60"/>
      <c r="W34" s="60"/>
      <c r="X34" s="56"/>
    </row>
    <row r="35" spans="1:24" ht="21" customHeight="1" thickBot="1" x14ac:dyDescent="0.25">
      <c r="A35" s="2921"/>
      <c r="B35" s="2845"/>
      <c r="C35" s="2846"/>
      <c r="D35" s="2823"/>
      <c r="E35" s="2856"/>
      <c r="F35" s="2810" t="s">
        <v>35</v>
      </c>
      <c r="G35" s="2811"/>
      <c r="H35" s="2812"/>
      <c r="I35" s="685">
        <f>I34</f>
        <v>57.1</v>
      </c>
      <c r="J35" s="686">
        <f>SUM(J34)</f>
        <v>57.1</v>
      </c>
      <c r="K35" s="686"/>
      <c r="L35" s="689">
        <f>L34</f>
        <v>0</v>
      </c>
      <c r="M35" s="685">
        <f>N35+P35</f>
        <v>42.9</v>
      </c>
      <c r="N35" s="686">
        <f>SUM(N34)</f>
        <v>42.9</v>
      </c>
      <c r="O35" s="686"/>
      <c r="P35" s="689">
        <f>P34</f>
        <v>0</v>
      </c>
      <c r="Q35" s="693">
        <f>R35+T35</f>
        <v>50</v>
      </c>
      <c r="R35" s="686">
        <f>SUM(R34)</f>
        <v>50</v>
      </c>
      <c r="S35" s="686"/>
      <c r="T35" s="662">
        <f>T34</f>
        <v>0</v>
      </c>
      <c r="U35" s="693">
        <f>V35+X35</f>
        <v>0</v>
      </c>
      <c r="V35" s="686">
        <f>SUM(V34)</f>
        <v>0</v>
      </c>
      <c r="W35" s="686"/>
      <c r="X35" s="662">
        <f>X34</f>
        <v>0</v>
      </c>
    </row>
    <row r="36" spans="1:24" ht="23.65" customHeight="1" x14ac:dyDescent="0.2">
      <c r="A36" s="2916">
        <v>1</v>
      </c>
      <c r="B36" s="2850">
        <v>2</v>
      </c>
      <c r="C36" s="2838">
        <v>4</v>
      </c>
      <c r="D36" s="2873" t="s">
        <v>334</v>
      </c>
      <c r="E36" s="2802" t="s">
        <v>114</v>
      </c>
      <c r="F36" s="2848" t="s">
        <v>317</v>
      </c>
      <c r="G36" s="2915" t="s">
        <v>335</v>
      </c>
      <c r="H36" s="2215" t="s">
        <v>30</v>
      </c>
      <c r="I36" s="2260">
        <f>SUM(J36,L36)</f>
        <v>77.2</v>
      </c>
      <c r="J36" s="1369"/>
      <c r="K36" s="1369"/>
      <c r="L36" s="2261">
        <v>77.2</v>
      </c>
      <c r="M36" s="2260">
        <f>SUM(N36,P36)</f>
        <v>25.6</v>
      </c>
      <c r="N36" s="1369"/>
      <c r="O36" s="1369"/>
      <c r="P36" s="2261">
        <v>25.6</v>
      </c>
      <c r="Q36" s="2260"/>
      <c r="R36" s="1369"/>
      <c r="S36" s="66"/>
      <c r="T36" s="56"/>
      <c r="U36" s="2260"/>
      <c r="V36" s="1369"/>
      <c r="W36" s="66"/>
      <c r="X36" s="56"/>
    </row>
    <row r="37" spans="1:24" ht="23.65" customHeight="1" x14ac:dyDescent="0.2">
      <c r="A37" s="2920"/>
      <c r="B37" s="2851"/>
      <c r="C37" s="2853"/>
      <c r="D37" s="2874"/>
      <c r="E37" s="2802"/>
      <c r="F37" s="2848"/>
      <c r="G37" s="2915"/>
      <c r="H37" s="2216" t="s">
        <v>32</v>
      </c>
      <c r="I37" s="2262">
        <v>45.7</v>
      </c>
      <c r="J37" s="2263"/>
      <c r="K37" s="2263"/>
      <c r="L37" s="2264">
        <v>45.7</v>
      </c>
      <c r="M37" s="2265"/>
      <c r="N37" s="2266"/>
      <c r="O37" s="2266"/>
      <c r="P37" s="2267"/>
      <c r="Q37" s="2265"/>
      <c r="R37" s="2266"/>
      <c r="S37" s="70"/>
      <c r="T37" s="71"/>
      <c r="U37" s="2265"/>
      <c r="V37" s="2266"/>
      <c r="W37" s="70"/>
      <c r="X37" s="71"/>
    </row>
    <row r="38" spans="1:24" ht="23.65" customHeight="1" thickBot="1" x14ac:dyDescent="0.25">
      <c r="A38" s="2920"/>
      <c r="B38" s="2851"/>
      <c r="C38" s="2853"/>
      <c r="D38" s="2874"/>
      <c r="E38" s="2802"/>
      <c r="F38" s="2848"/>
      <c r="G38" s="2915"/>
      <c r="H38" s="667" t="s">
        <v>116</v>
      </c>
      <c r="I38" s="2268">
        <v>394.3</v>
      </c>
      <c r="J38" s="2269"/>
      <c r="K38" s="2269"/>
      <c r="L38" s="2270">
        <v>394.3</v>
      </c>
      <c r="M38" s="2271">
        <f>SUM(N38,P38)</f>
        <v>0</v>
      </c>
      <c r="N38" s="2272"/>
      <c r="O38" s="2272"/>
      <c r="P38" s="2273"/>
      <c r="Q38" s="2271"/>
      <c r="R38" s="2272"/>
      <c r="S38" s="75"/>
      <c r="T38" s="76"/>
      <c r="U38" s="2271"/>
      <c r="V38" s="2272"/>
      <c r="W38" s="75"/>
      <c r="X38" s="76"/>
    </row>
    <row r="39" spans="1:24" ht="27.6" customHeight="1" thickBot="1" x14ac:dyDescent="0.25">
      <c r="A39" s="2917"/>
      <c r="B39" s="2852"/>
      <c r="C39" s="2853"/>
      <c r="D39" s="2875"/>
      <c r="E39" s="2803"/>
      <c r="F39" s="2810" t="s">
        <v>35</v>
      </c>
      <c r="G39" s="2811"/>
      <c r="H39" s="2812"/>
      <c r="I39" s="688">
        <f>SUM(J39,L39)</f>
        <v>517.20000000000005</v>
      </c>
      <c r="J39" s="683"/>
      <c r="K39" s="683">
        <f>K36+K38</f>
        <v>0</v>
      </c>
      <c r="L39" s="680">
        <f>L36+L38+L37</f>
        <v>517.20000000000005</v>
      </c>
      <c r="M39" s="688">
        <f>SUM(N39,P39)</f>
        <v>25.6</v>
      </c>
      <c r="N39" s="683"/>
      <c r="O39" s="683"/>
      <c r="P39" s="689">
        <f>P36</f>
        <v>25.6</v>
      </c>
      <c r="Q39" s="690"/>
      <c r="R39" s="679"/>
      <c r="S39" s="679"/>
      <c r="T39" s="683"/>
      <c r="U39" s="663"/>
      <c r="V39" s="679"/>
      <c r="W39" s="679"/>
      <c r="X39" s="680"/>
    </row>
    <row r="40" spans="1:24" ht="28.5" customHeight="1" thickBot="1" x14ac:dyDescent="0.25">
      <c r="A40" s="2916">
        <v>1</v>
      </c>
      <c r="B40" s="2850">
        <v>2</v>
      </c>
      <c r="C40" s="2918">
        <v>5</v>
      </c>
      <c r="D40" s="2873" t="s">
        <v>336</v>
      </c>
      <c r="E40" s="2802" t="s">
        <v>114</v>
      </c>
      <c r="F40" s="2125" t="s">
        <v>317</v>
      </c>
      <c r="G40" s="2130" t="s">
        <v>337</v>
      </c>
      <c r="H40" s="691" t="s">
        <v>30</v>
      </c>
      <c r="I40" s="59">
        <f>J40+L40</f>
        <v>80.3</v>
      </c>
      <c r="J40" s="60"/>
      <c r="K40" s="60"/>
      <c r="L40" s="77">
        <v>80.3</v>
      </c>
      <c r="M40" s="78">
        <v>4.0999999999999996</v>
      </c>
      <c r="N40" s="60"/>
      <c r="O40" s="60"/>
      <c r="P40" s="61">
        <v>4.0999999999999996</v>
      </c>
      <c r="Q40" s="79"/>
      <c r="R40" s="80"/>
      <c r="S40" s="80"/>
      <c r="T40" s="81"/>
      <c r="U40" s="79"/>
      <c r="V40" s="80"/>
      <c r="W40" s="80"/>
      <c r="X40" s="81"/>
    </row>
    <row r="41" spans="1:24" ht="27.75" customHeight="1" thickBot="1" x14ac:dyDescent="0.25">
      <c r="A41" s="2917"/>
      <c r="B41" s="2852"/>
      <c r="C41" s="2919"/>
      <c r="D41" s="2875"/>
      <c r="E41" s="2803"/>
      <c r="F41" s="2810" t="s">
        <v>35</v>
      </c>
      <c r="G41" s="2811"/>
      <c r="H41" s="2812"/>
      <c r="I41" s="685">
        <f>J41+L41</f>
        <v>80.3</v>
      </c>
      <c r="J41" s="692"/>
      <c r="K41" s="692"/>
      <c r="L41" s="689">
        <f>L40</f>
        <v>80.3</v>
      </c>
      <c r="M41" s="685">
        <f t="shared" ref="M41" si="21">SUM(N41,P41)</f>
        <v>4.0999999999999996</v>
      </c>
      <c r="N41" s="692"/>
      <c r="O41" s="692"/>
      <c r="P41" s="689">
        <f>SUM(P40)</f>
        <v>4.0999999999999996</v>
      </c>
      <c r="Q41" s="693"/>
      <c r="R41" s="686"/>
      <c r="S41" s="686"/>
      <c r="T41" s="689"/>
      <c r="U41" s="693"/>
      <c r="V41" s="686"/>
      <c r="W41" s="686"/>
      <c r="X41" s="689"/>
    </row>
    <row r="42" spans="1:24" ht="30" customHeight="1" thickBot="1" x14ac:dyDescent="0.25">
      <c r="A42" s="2901">
        <v>1</v>
      </c>
      <c r="B42" s="2902">
        <v>2</v>
      </c>
      <c r="C42" s="2526">
        <v>6</v>
      </c>
      <c r="D42" s="2914" t="s">
        <v>338</v>
      </c>
      <c r="E42" s="2526" t="s">
        <v>290</v>
      </c>
      <c r="F42" s="2125" t="s">
        <v>317</v>
      </c>
      <c r="G42" s="2137" t="s">
        <v>339</v>
      </c>
      <c r="H42" s="82" t="s">
        <v>30</v>
      </c>
      <c r="I42" s="62">
        <f t="shared" ref="I42:I53" si="22">J42+L42</f>
        <v>0</v>
      </c>
      <c r="J42" s="60"/>
      <c r="K42" s="60"/>
      <c r="L42" s="61">
        <v>0</v>
      </c>
      <c r="M42" s="62">
        <f t="shared" ref="M42:M53" si="23">N42+P42</f>
        <v>50</v>
      </c>
      <c r="N42" s="60"/>
      <c r="O42" s="60"/>
      <c r="P42" s="61">
        <v>50</v>
      </c>
      <c r="Q42" s="62">
        <v>50</v>
      </c>
      <c r="R42" s="60"/>
      <c r="S42" s="60"/>
      <c r="T42" s="61">
        <v>50</v>
      </c>
      <c r="U42" s="62"/>
      <c r="V42" s="60"/>
      <c r="W42" s="60"/>
      <c r="X42" s="61"/>
    </row>
    <row r="43" spans="1:24" ht="28.5" customHeight="1" thickBot="1" x14ac:dyDescent="0.25">
      <c r="A43" s="2901"/>
      <c r="B43" s="2902"/>
      <c r="C43" s="2526"/>
      <c r="D43" s="2914"/>
      <c r="E43" s="2816"/>
      <c r="F43" s="2898" t="s">
        <v>35</v>
      </c>
      <c r="G43" s="2899"/>
      <c r="H43" s="2900"/>
      <c r="I43" s="83">
        <f t="shared" si="22"/>
        <v>0</v>
      </c>
      <c r="J43" s="84"/>
      <c r="K43" s="84"/>
      <c r="L43" s="85">
        <f>L42</f>
        <v>0</v>
      </c>
      <c r="M43" s="83">
        <f t="shared" si="23"/>
        <v>50</v>
      </c>
      <c r="N43" s="84"/>
      <c r="O43" s="84"/>
      <c r="P43" s="85">
        <f>P42</f>
        <v>50</v>
      </c>
      <c r="Q43" s="83">
        <f t="shared" ref="Q43" si="24">R43+T43</f>
        <v>50</v>
      </c>
      <c r="R43" s="84"/>
      <c r="S43" s="84"/>
      <c r="T43" s="85">
        <f>T42</f>
        <v>50</v>
      </c>
      <c r="U43" s="83"/>
      <c r="V43" s="84"/>
      <c r="W43" s="84"/>
      <c r="X43" s="85"/>
    </row>
    <row r="44" spans="1:24" ht="30" customHeight="1" thickBot="1" x14ac:dyDescent="0.25">
      <c r="A44" s="2901">
        <v>1</v>
      </c>
      <c r="B44" s="2902">
        <v>2</v>
      </c>
      <c r="C44" s="2526">
        <v>7</v>
      </c>
      <c r="D44" s="2914" t="s">
        <v>340</v>
      </c>
      <c r="E44" s="2526" t="s">
        <v>341</v>
      </c>
      <c r="F44" s="2137" t="s">
        <v>342</v>
      </c>
      <c r="G44" s="2137" t="s">
        <v>343</v>
      </c>
      <c r="H44" s="82" t="s">
        <v>30</v>
      </c>
      <c r="I44" s="62">
        <f t="shared" si="22"/>
        <v>48.4</v>
      </c>
      <c r="J44" s="60">
        <v>48.4</v>
      </c>
      <c r="K44" s="60"/>
      <c r="L44" s="61"/>
      <c r="M44" s="62">
        <f t="shared" si="23"/>
        <v>0</v>
      </c>
      <c r="N44" s="60">
        <v>0</v>
      </c>
      <c r="O44" s="60"/>
      <c r="P44" s="61"/>
      <c r="Q44" s="62"/>
      <c r="R44" s="60"/>
      <c r="S44" s="60"/>
      <c r="T44" s="61"/>
      <c r="U44" s="62"/>
      <c r="V44" s="60"/>
      <c r="W44" s="60"/>
      <c r="X44" s="61"/>
    </row>
    <row r="45" spans="1:24" ht="28.5" customHeight="1" thickBot="1" x14ac:dyDescent="0.25">
      <c r="A45" s="2901"/>
      <c r="B45" s="2902"/>
      <c r="C45" s="2526"/>
      <c r="D45" s="2914"/>
      <c r="E45" s="2816"/>
      <c r="F45" s="2898" t="s">
        <v>35</v>
      </c>
      <c r="G45" s="2899"/>
      <c r="H45" s="2900"/>
      <c r="I45" s="83">
        <f t="shared" si="22"/>
        <v>48.4</v>
      </c>
      <c r="J45" s="84">
        <f>J44</f>
        <v>48.4</v>
      </c>
      <c r="K45" s="84"/>
      <c r="L45" s="85">
        <f>L44</f>
        <v>0</v>
      </c>
      <c r="M45" s="83">
        <f t="shared" si="23"/>
        <v>0</v>
      </c>
      <c r="N45" s="84">
        <v>0</v>
      </c>
      <c r="O45" s="84"/>
      <c r="P45" s="85">
        <f>P44</f>
        <v>0</v>
      </c>
      <c r="Q45" s="83"/>
      <c r="R45" s="84"/>
      <c r="S45" s="84"/>
      <c r="T45" s="85"/>
      <c r="U45" s="83"/>
      <c r="V45" s="84"/>
      <c r="W45" s="84"/>
      <c r="X45" s="85"/>
    </row>
    <row r="46" spans="1:24" ht="32.65" customHeight="1" thickBot="1" x14ac:dyDescent="0.25">
      <c r="A46" s="2901">
        <v>1</v>
      </c>
      <c r="B46" s="2902">
        <v>2</v>
      </c>
      <c r="C46" s="2526">
        <v>8</v>
      </c>
      <c r="D46" s="2903" t="s">
        <v>344</v>
      </c>
      <c r="E46" s="2526">
        <v>9</v>
      </c>
      <c r="F46" s="2137" t="s">
        <v>317</v>
      </c>
      <c r="G46" s="2137" t="s">
        <v>345</v>
      </c>
      <c r="H46" s="82" t="s">
        <v>30</v>
      </c>
      <c r="I46" s="62">
        <f t="shared" si="22"/>
        <v>0</v>
      </c>
      <c r="J46" s="60"/>
      <c r="K46" s="60"/>
      <c r="L46" s="61"/>
      <c r="M46" s="2274">
        <f t="shared" si="23"/>
        <v>50</v>
      </c>
      <c r="N46" s="709"/>
      <c r="O46" s="709"/>
      <c r="P46" s="88">
        <v>50</v>
      </c>
      <c r="Q46" s="62"/>
      <c r="R46" s="60"/>
      <c r="S46" s="60"/>
      <c r="T46" s="61"/>
      <c r="U46" s="62"/>
      <c r="V46" s="60"/>
      <c r="W46" s="60"/>
      <c r="X46" s="61"/>
    </row>
    <row r="47" spans="1:24" ht="34.15" customHeight="1" thickBot="1" x14ac:dyDescent="0.25">
      <c r="A47" s="2901"/>
      <c r="B47" s="2902"/>
      <c r="C47" s="2526"/>
      <c r="D47" s="2904"/>
      <c r="E47" s="2816"/>
      <c r="F47" s="2898" t="s">
        <v>35</v>
      </c>
      <c r="G47" s="2899"/>
      <c r="H47" s="2900"/>
      <c r="I47" s="83">
        <f t="shared" si="22"/>
        <v>0</v>
      </c>
      <c r="J47" s="84"/>
      <c r="K47" s="84"/>
      <c r="L47" s="85">
        <f>L46</f>
        <v>0</v>
      </c>
      <c r="M47" s="83">
        <f t="shared" si="23"/>
        <v>50</v>
      </c>
      <c r="N47" s="84"/>
      <c r="O47" s="84"/>
      <c r="P47" s="85">
        <f>P46</f>
        <v>50</v>
      </c>
      <c r="Q47" s="83"/>
      <c r="R47" s="84"/>
      <c r="S47" s="84"/>
      <c r="T47" s="85"/>
      <c r="U47" s="83"/>
      <c r="V47" s="84"/>
      <c r="W47" s="84"/>
      <c r="X47" s="85"/>
    </row>
    <row r="48" spans="1:24" ht="30" customHeight="1" thickBot="1" x14ac:dyDescent="0.25">
      <c r="A48" s="2905">
        <v>1</v>
      </c>
      <c r="B48" s="2906">
        <v>2</v>
      </c>
      <c r="C48" s="2494">
        <v>9</v>
      </c>
      <c r="D48" s="2913" t="s">
        <v>346</v>
      </c>
      <c r="E48" s="2494">
        <v>9</v>
      </c>
      <c r="F48" s="2137" t="s">
        <v>317</v>
      </c>
      <c r="G48" s="2118" t="s">
        <v>347</v>
      </c>
      <c r="H48" s="82" t="s">
        <v>30</v>
      </c>
      <c r="I48" s="62">
        <f t="shared" si="22"/>
        <v>0</v>
      </c>
      <c r="J48" s="60"/>
      <c r="K48" s="60"/>
      <c r="L48" s="61"/>
      <c r="M48" s="62">
        <f t="shared" si="23"/>
        <v>85</v>
      </c>
      <c r="N48" s="60">
        <v>85</v>
      </c>
      <c r="O48" s="60"/>
      <c r="P48" s="61"/>
      <c r="Q48" s="62">
        <v>85</v>
      </c>
      <c r="R48" s="60">
        <v>85</v>
      </c>
      <c r="S48" s="60"/>
      <c r="T48" s="61"/>
      <c r="U48" s="62">
        <v>85</v>
      </c>
      <c r="V48" s="60">
        <v>85</v>
      </c>
      <c r="W48" s="60"/>
      <c r="X48" s="61"/>
    </row>
    <row r="49" spans="1:24" ht="51" customHeight="1" thickBot="1" x14ac:dyDescent="0.25">
      <c r="A49" s="2901"/>
      <c r="B49" s="2902"/>
      <c r="C49" s="2526"/>
      <c r="D49" s="2914"/>
      <c r="E49" s="2816"/>
      <c r="F49" s="2898" t="s">
        <v>35</v>
      </c>
      <c r="G49" s="2899"/>
      <c r="H49" s="2900"/>
      <c r="I49" s="83">
        <f t="shared" si="22"/>
        <v>0</v>
      </c>
      <c r="J49" s="84">
        <f>J48</f>
        <v>0</v>
      </c>
      <c r="K49" s="84"/>
      <c r="L49" s="85">
        <f>L48</f>
        <v>0</v>
      </c>
      <c r="M49" s="83">
        <f t="shared" si="23"/>
        <v>85</v>
      </c>
      <c r="N49" s="84">
        <v>85</v>
      </c>
      <c r="O49" s="84"/>
      <c r="P49" s="85">
        <f>P48</f>
        <v>0</v>
      </c>
      <c r="Q49" s="83">
        <v>85</v>
      </c>
      <c r="R49" s="84">
        <v>85</v>
      </c>
      <c r="S49" s="84"/>
      <c r="T49" s="85"/>
      <c r="U49" s="83">
        <v>85</v>
      </c>
      <c r="V49" s="84">
        <v>85</v>
      </c>
      <c r="W49" s="84"/>
      <c r="X49" s="85"/>
    </row>
    <row r="50" spans="1:24" ht="25.15" customHeight="1" x14ac:dyDescent="0.2">
      <c r="A50" s="2905">
        <v>1</v>
      </c>
      <c r="B50" s="2906">
        <v>2</v>
      </c>
      <c r="C50" s="2907">
        <v>10</v>
      </c>
      <c r="D50" s="2840" t="s">
        <v>348</v>
      </c>
      <c r="E50" s="2907">
        <v>9</v>
      </c>
      <c r="F50" s="2953" t="s">
        <v>317</v>
      </c>
      <c r="G50" s="2953" t="s">
        <v>349</v>
      </c>
      <c r="H50" s="2241" t="s">
        <v>30</v>
      </c>
      <c r="I50" s="716"/>
      <c r="J50" s="717"/>
      <c r="K50" s="717"/>
      <c r="L50" s="720"/>
      <c r="M50" s="716">
        <v>250</v>
      </c>
      <c r="N50" s="717"/>
      <c r="O50" s="717"/>
      <c r="P50" s="1939">
        <v>250</v>
      </c>
      <c r="Q50" s="2025">
        <v>500</v>
      </c>
      <c r="R50" s="2026"/>
      <c r="S50" s="2026"/>
      <c r="T50" s="1939">
        <v>500</v>
      </c>
      <c r="U50" s="1304"/>
      <c r="V50" s="717"/>
      <c r="W50" s="717"/>
      <c r="X50" s="720"/>
    </row>
    <row r="51" spans="1:24" ht="16.899999999999999" customHeight="1" thickBot="1" x14ac:dyDescent="0.25">
      <c r="A51" s="2905"/>
      <c r="B51" s="2906"/>
      <c r="C51" s="2776"/>
      <c r="D51" s="2855"/>
      <c r="E51" s="2909"/>
      <c r="F51" s="2954"/>
      <c r="G51" s="2954"/>
      <c r="H51" s="2217" t="s">
        <v>116</v>
      </c>
      <c r="I51" s="1531"/>
      <c r="J51" s="86"/>
      <c r="K51" s="86"/>
      <c r="L51" s="2234"/>
      <c r="M51" s="1531">
        <v>300</v>
      </c>
      <c r="N51" s="86"/>
      <c r="O51" s="86"/>
      <c r="P51" s="2024">
        <v>300</v>
      </c>
      <c r="Q51" s="1270"/>
      <c r="R51" s="86"/>
      <c r="S51" s="86"/>
      <c r="T51" s="2234"/>
      <c r="U51" s="1270"/>
      <c r="V51" s="86"/>
      <c r="W51" s="86"/>
      <c r="X51" s="2234"/>
    </row>
    <row r="52" spans="1:24" ht="27.75" customHeight="1" thickBot="1" x14ac:dyDescent="0.25">
      <c r="A52" s="2901"/>
      <c r="B52" s="2902"/>
      <c r="C52" s="2908"/>
      <c r="D52" s="2855"/>
      <c r="E52" s="2909"/>
      <c r="F52" s="2910" t="s">
        <v>35</v>
      </c>
      <c r="G52" s="2911"/>
      <c r="H52" s="2912"/>
      <c r="I52" s="89"/>
      <c r="J52" s="90"/>
      <c r="K52" s="90"/>
      <c r="L52" s="90"/>
      <c r="M52" s="91">
        <f>N52+P52</f>
        <v>550</v>
      </c>
      <c r="N52" s="90"/>
      <c r="O52" s="90"/>
      <c r="P52" s="85">
        <f>P50+P51</f>
        <v>550</v>
      </c>
      <c r="Q52" s="92">
        <v>500</v>
      </c>
      <c r="R52" s="90"/>
      <c r="S52" s="90"/>
      <c r="T52" s="85">
        <v>500</v>
      </c>
      <c r="U52" s="92"/>
      <c r="V52" s="90"/>
      <c r="W52" s="90"/>
      <c r="X52" s="85"/>
    </row>
    <row r="53" spans="1:24" s="2339" customFormat="1" ht="12.75" customHeight="1" thickBot="1" x14ac:dyDescent="0.25">
      <c r="A53" s="2340">
        <v>1</v>
      </c>
      <c r="B53" s="694">
        <v>2</v>
      </c>
      <c r="C53" s="2879" t="s">
        <v>234</v>
      </c>
      <c r="D53" s="2880"/>
      <c r="E53" s="2880"/>
      <c r="F53" s="2880"/>
      <c r="G53" s="2880"/>
      <c r="H53" s="2881"/>
      <c r="I53" s="695">
        <f t="shared" si="22"/>
        <v>872.69999999999993</v>
      </c>
      <c r="J53" s="696">
        <f>SUM(J52,J49,J47,J45,J43,J41,J39,J35,J33,J29)</f>
        <v>105.5</v>
      </c>
      <c r="K53" s="696">
        <f t="shared" ref="K53:L53" si="25">SUM(K52,K49,K47,K45,K43,K41,K39,K35,K33,K29)</f>
        <v>0</v>
      </c>
      <c r="L53" s="696">
        <f t="shared" si="25"/>
        <v>767.19999999999993</v>
      </c>
      <c r="M53" s="695">
        <f t="shared" si="23"/>
        <v>1585</v>
      </c>
      <c r="N53" s="696">
        <f>SUM(N52,N49,N47,N45,N43,N41,N39,N35,N33,N29)</f>
        <v>127.9</v>
      </c>
      <c r="O53" s="696">
        <f t="shared" ref="O53:P53" si="26">SUM(O52,O49,O47,O45,O43,O41,O39,O35,O33,O29)</f>
        <v>0</v>
      </c>
      <c r="P53" s="696">
        <f t="shared" si="26"/>
        <v>1457.1</v>
      </c>
      <c r="Q53" s="697">
        <f>R53+T53</f>
        <v>1065</v>
      </c>
      <c r="R53" s="696">
        <f>SUM(R52,R49,R47,R45,R43,R41,R39,R35,R33,R29)</f>
        <v>135</v>
      </c>
      <c r="S53" s="696">
        <f t="shared" ref="S53:T53" si="27">SUM(S52,S49,S47,S45,S43,S41,S39,S35,S33,S29)</f>
        <v>0</v>
      </c>
      <c r="T53" s="696">
        <f t="shared" si="27"/>
        <v>930</v>
      </c>
      <c r="U53" s="697">
        <f>V53+X53</f>
        <v>85</v>
      </c>
      <c r="V53" s="696">
        <f>SUM(V52,V49,V47,V45,V43,V41,V39,V35,V33,V29)</f>
        <v>85</v>
      </c>
      <c r="W53" s="696">
        <f t="shared" ref="W53:X53" si="28">SUM(W52,W49,W47,W45,W43,W41,W39,W35,W33,W29)</f>
        <v>0</v>
      </c>
      <c r="X53" s="2247">
        <f t="shared" si="28"/>
        <v>0</v>
      </c>
    </row>
    <row r="54" spans="1:24" s="2339" customFormat="1" ht="12.75" customHeight="1" thickBot="1" x14ac:dyDescent="0.25">
      <c r="A54" s="698">
        <v>1</v>
      </c>
      <c r="B54" s="2882" t="s">
        <v>167</v>
      </c>
      <c r="C54" s="2883"/>
      <c r="D54" s="2883"/>
      <c r="E54" s="2883"/>
      <c r="F54" s="2883"/>
      <c r="G54" s="2883"/>
      <c r="H54" s="2884"/>
      <c r="I54" s="699">
        <f>SUM(J54,L54)</f>
        <v>3474.8999999999996</v>
      </c>
      <c r="J54" s="700">
        <f>J25+J53</f>
        <v>105.5</v>
      </c>
      <c r="K54" s="700">
        <f t="shared" ref="K54:L54" si="29">K25+K53</f>
        <v>0</v>
      </c>
      <c r="L54" s="700">
        <f t="shared" si="29"/>
        <v>3369.3999999999996</v>
      </c>
      <c r="M54" s="699">
        <f>SUM(N54,P54)</f>
        <v>4919.3999999999996</v>
      </c>
      <c r="N54" s="700">
        <f>N25+N53</f>
        <v>127.9</v>
      </c>
      <c r="O54" s="700">
        <f t="shared" ref="O54:P54" si="30">O25+O53</f>
        <v>0</v>
      </c>
      <c r="P54" s="700">
        <f t="shared" si="30"/>
        <v>4791.5</v>
      </c>
      <c r="Q54" s="699">
        <f>SUM(R54,T54)</f>
        <v>6742</v>
      </c>
      <c r="R54" s="700">
        <f>R25+R53</f>
        <v>135</v>
      </c>
      <c r="S54" s="700">
        <f t="shared" ref="S54:T54" si="31">S25+S53</f>
        <v>0</v>
      </c>
      <c r="T54" s="700">
        <f t="shared" si="31"/>
        <v>6607</v>
      </c>
      <c r="U54" s="699">
        <f>SUM(V54,X54)</f>
        <v>4073</v>
      </c>
      <c r="V54" s="700">
        <f>V25+V53</f>
        <v>85</v>
      </c>
      <c r="W54" s="700">
        <f t="shared" ref="W54:X54" si="32">W25+W53</f>
        <v>0</v>
      </c>
      <c r="X54" s="2248">
        <f t="shared" si="32"/>
        <v>3988</v>
      </c>
    </row>
    <row r="55" spans="1:24" ht="15.75" customHeight="1" thickBot="1" x14ac:dyDescent="0.25">
      <c r="A55" s="701">
        <v>2</v>
      </c>
      <c r="B55" s="2885" t="s">
        <v>350</v>
      </c>
      <c r="C55" s="2886"/>
      <c r="D55" s="2886"/>
      <c r="E55" s="2886"/>
      <c r="F55" s="2886"/>
      <c r="G55" s="2886"/>
      <c r="H55" s="2886"/>
      <c r="I55" s="2886"/>
      <c r="J55" s="2886"/>
      <c r="K55" s="2886"/>
      <c r="L55" s="2886"/>
      <c r="M55" s="2886"/>
      <c r="N55" s="2886"/>
      <c r="O55" s="2886"/>
      <c r="P55" s="2886"/>
      <c r="Q55" s="2886"/>
      <c r="R55" s="2886"/>
      <c r="S55" s="2886"/>
      <c r="T55" s="2886"/>
      <c r="U55" s="2886"/>
      <c r="V55" s="2886"/>
      <c r="W55" s="2886"/>
      <c r="X55" s="2887"/>
    </row>
    <row r="56" spans="1:24" ht="13.5" customHeight="1" thickBot="1" x14ac:dyDescent="0.25">
      <c r="A56" s="702">
        <v>2</v>
      </c>
      <c r="B56" s="703">
        <v>1</v>
      </c>
      <c r="C56" s="2888" t="s">
        <v>351</v>
      </c>
      <c r="D56" s="2889"/>
      <c r="E56" s="2889"/>
      <c r="F56" s="2889"/>
      <c r="G56" s="2889"/>
      <c r="H56" s="2889"/>
      <c r="I56" s="2889"/>
      <c r="J56" s="2889"/>
      <c r="K56" s="2889"/>
      <c r="L56" s="2889"/>
      <c r="M56" s="2889"/>
      <c r="N56" s="2889"/>
      <c r="O56" s="2889"/>
      <c r="P56" s="2889"/>
      <c r="Q56" s="2889"/>
      <c r="R56" s="2889"/>
      <c r="S56" s="2889"/>
      <c r="T56" s="2889"/>
      <c r="U56" s="2889"/>
      <c r="V56" s="2889"/>
      <c r="W56" s="2889"/>
      <c r="X56" s="2890"/>
    </row>
    <row r="57" spans="1:24" ht="24" customHeight="1" thickBot="1" x14ac:dyDescent="0.25">
      <c r="A57" s="2891">
        <v>2</v>
      </c>
      <c r="B57" s="2892">
        <v>1</v>
      </c>
      <c r="C57" s="2893">
        <v>1</v>
      </c>
      <c r="D57" s="2875" t="s">
        <v>352</v>
      </c>
      <c r="E57" s="2878" t="s">
        <v>353</v>
      </c>
      <c r="F57" s="2134" t="s">
        <v>354</v>
      </c>
      <c r="G57" s="2134" t="s">
        <v>355</v>
      </c>
      <c r="H57" s="704" t="s">
        <v>30</v>
      </c>
      <c r="I57" s="705"/>
      <c r="J57" s="706"/>
      <c r="K57" s="706"/>
      <c r="L57" s="707"/>
      <c r="M57" s="705">
        <f t="shared" ref="M57:M58" si="33">SUM(N57,P57)</f>
        <v>20</v>
      </c>
      <c r="N57" s="706">
        <v>20</v>
      </c>
      <c r="O57" s="706"/>
      <c r="P57" s="708"/>
      <c r="Q57" s="78">
        <f t="shared" ref="Q57:Q58" si="34">SUM(R57,T57)</f>
        <v>20</v>
      </c>
      <c r="R57" s="709">
        <v>20</v>
      </c>
      <c r="S57" s="709"/>
      <c r="T57" s="88"/>
      <c r="U57" s="78">
        <f t="shared" ref="U57:U58" si="35">SUM(V57,X57)</f>
        <v>20</v>
      </c>
      <c r="V57" s="709">
        <v>20</v>
      </c>
      <c r="W57" s="709"/>
      <c r="X57" s="88"/>
    </row>
    <row r="58" spans="1:24" ht="15" customHeight="1" thickBot="1" x14ac:dyDescent="0.25">
      <c r="A58" s="2891"/>
      <c r="B58" s="2892"/>
      <c r="C58" s="2872"/>
      <c r="D58" s="2823"/>
      <c r="E58" s="2894"/>
      <c r="F58" s="2895" t="s">
        <v>35</v>
      </c>
      <c r="G58" s="2896"/>
      <c r="H58" s="2897"/>
      <c r="I58" s="710"/>
      <c r="J58" s="711"/>
      <c r="K58" s="711"/>
      <c r="L58" s="712"/>
      <c r="M58" s="710">
        <f t="shared" si="33"/>
        <v>20</v>
      </c>
      <c r="N58" s="711">
        <f>SUM(N57)</f>
        <v>20</v>
      </c>
      <c r="O58" s="711"/>
      <c r="P58" s="713"/>
      <c r="Q58" s="714">
        <f t="shared" si="34"/>
        <v>20</v>
      </c>
      <c r="R58" s="711">
        <f>SUM(R57)</f>
        <v>20</v>
      </c>
      <c r="S58" s="711"/>
      <c r="T58" s="712"/>
      <c r="U58" s="714">
        <f t="shared" si="35"/>
        <v>20</v>
      </c>
      <c r="V58" s="711">
        <f>SUM(V57)</f>
        <v>20</v>
      </c>
      <c r="W58" s="711"/>
      <c r="X58" s="712"/>
    </row>
    <row r="59" spans="1:24" ht="21.75" customHeight="1" x14ac:dyDescent="0.2">
      <c r="A59" s="2866">
        <v>2</v>
      </c>
      <c r="B59" s="2869">
        <v>1</v>
      </c>
      <c r="C59" s="2872">
        <v>2</v>
      </c>
      <c r="D59" s="2873" t="s">
        <v>356</v>
      </c>
      <c r="E59" s="2876" t="s">
        <v>114</v>
      </c>
      <c r="F59" s="2722" t="s">
        <v>342</v>
      </c>
      <c r="G59" s="2857" t="s">
        <v>357</v>
      </c>
      <c r="H59" s="715" t="s">
        <v>111</v>
      </c>
      <c r="I59" s="716">
        <v>11.9</v>
      </c>
      <c r="J59" s="717">
        <v>8.4</v>
      </c>
      <c r="K59" s="718">
        <v>10</v>
      </c>
      <c r="L59" s="719">
        <v>3.5</v>
      </c>
      <c r="M59" s="716"/>
      <c r="N59" s="717"/>
      <c r="O59" s="718"/>
      <c r="P59" s="720"/>
      <c r="Q59" s="721"/>
      <c r="R59" s="706"/>
      <c r="S59" s="706"/>
      <c r="T59" s="707"/>
      <c r="U59" s="721"/>
      <c r="V59" s="706"/>
      <c r="W59" s="706"/>
      <c r="X59" s="707"/>
    </row>
    <row r="60" spans="1:24" ht="24" customHeight="1" x14ac:dyDescent="0.2">
      <c r="A60" s="2867"/>
      <c r="B60" s="2870"/>
      <c r="C60" s="2872"/>
      <c r="D60" s="2874"/>
      <c r="E60" s="2877"/>
      <c r="F60" s="2556"/>
      <c r="G60" s="2858"/>
      <c r="H60" s="722" t="s">
        <v>30</v>
      </c>
      <c r="I60" s="723"/>
      <c r="J60" s="708"/>
      <c r="K60" s="706"/>
      <c r="L60" s="724"/>
      <c r="M60" s="723"/>
      <c r="N60" s="708"/>
      <c r="O60" s="706"/>
      <c r="P60" s="707"/>
      <c r="Q60" s="725"/>
      <c r="R60" s="726"/>
      <c r="S60" s="726"/>
      <c r="T60" s="727"/>
      <c r="U60" s="725"/>
      <c r="V60" s="726"/>
      <c r="W60" s="726"/>
      <c r="X60" s="727"/>
    </row>
    <row r="61" spans="1:24" ht="24" customHeight="1" thickBot="1" x14ac:dyDescent="0.25">
      <c r="A61" s="2867"/>
      <c r="B61" s="2870"/>
      <c r="C61" s="2872"/>
      <c r="D61" s="2874"/>
      <c r="E61" s="2877"/>
      <c r="F61" s="2723"/>
      <c r="G61" s="2859"/>
      <c r="H61" s="667" t="s">
        <v>112</v>
      </c>
      <c r="I61" s="729"/>
      <c r="J61" s="730"/>
      <c r="K61" s="731"/>
      <c r="L61" s="732"/>
      <c r="M61" s="729"/>
      <c r="N61" s="730"/>
      <c r="O61" s="731"/>
      <c r="P61" s="656"/>
      <c r="Q61" s="733"/>
      <c r="R61" s="734"/>
      <c r="S61" s="734"/>
      <c r="T61" s="735"/>
      <c r="U61" s="733"/>
      <c r="V61" s="734"/>
      <c r="W61" s="734"/>
      <c r="X61" s="735"/>
    </row>
    <row r="62" spans="1:24" ht="22.5" customHeight="1" thickBot="1" x14ac:dyDescent="0.25">
      <c r="A62" s="2868"/>
      <c r="B62" s="2871"/>
      <c r="C62" s="2872"/>
      <c r="D62" s="2875"/>
      <c r="E62" s="2878"/>
      <c r="F62" s="2777" t="s">
        <v>35</v>
      </c>
      <c r="G62" s="2778"/>
      <c r="H62" s="2778"/>
      <c r="I62" s="710">
        <v>11.9</v>
      </c>
      <c r="J62" s="711">
        <f>SUM(J59:J61)</f>
        <v>8.4</v>
      </c>
      <c r="K62" s="711">
        <f>SUM(K59:K60)</f>
        <v>10</v>
      </c>
      <c r="L62" s="712">
        <f>SUM(L59:L60)</f>
        <v>3.5</v>
      </c>
      <c r="M62" s="710"/>
      <c r="N62" s="711"/>
      <c r="O62" s="711"/>
      <c r="P62" s="712"/>
      <c r="Q62" s="776"/>
      <c r="R62" s="711"/>
      <c r="S62" s="711"/>
      <c r="T62" s="712"/>
      <c r="U62" s="776"/>
      <c r="V62" s="711"/>
      <c r="W62" s="711"/>
      <c r="X62" s="712"/>
    </row>
    <row r="63" spans="1:24" ht="13.5" customHeight="1" thickBot="1" x14ac:dyDescent="0.25">
      <c r="A63" s="2112">
        <v>2</v>
      </c>
      <c r="B63" s="737">
        <v>1</v>
      </c>
      <c r="C63" s="2860" t="s">
        <v>234</v>
      </c>
      <c r="D63" s="2861"/>
      <c r="E63" s="2861"/>
      <c r="F63" s="2861"/>
      <c r="G63" s="2861"/>
      <c r="H63" s="2862"/>
      <c r="I63" s="406">
        <v>11.9</v>
      </c>
      <c r="J63" s="463">
        <f>J62+J58</f>
        <v>8.4</v>
      </c>
      <c r="K63" s="463">
        <f t="shared" ref="K63:L63" si="36">K62+K58</f>
        <v>10</v>
      </c>
      <c r="L63" s="463">
        <f t="shared" si="36"/>
        <v>3.5</v>
      </c>
      <c r="M63" s="406">
        <f t="shared" ref="M63" si="37">N63+P63</f>
        <v>20</v>
      </c>
      <c r="N63" s="463">
        <f>N62+N58</f>
        <v>20</v>
      </c>
      <c r="O63" s="463">
        <f t="shared" ref="O63:P63" si="38">O62+O58</f>
        <v>0</v>
      </c>
      <c r="P63" s="463">
        <f t="shared" si="38"/>
        <v>0</v>
      </c>
      <c r="Q63" s="462">
        <f t="shared" ref="Q63" si="39">R63+T63</f>
        <v>20</v>
      </c>
      <c r="R63" s="463">
        <f>R62+R58</f>
        <v>20</v>
      </c>
      <c r="S63" s="463">
        <f t="shared" ref="S63:T63" si="40">S62+S58</f>
        <v>0</v>
      </c>
      <c r="T63" s="463">
        <f t="shared" si="40"/>
        <v>0</v>
      </c>
      <c r="U63" s="462">
        <f t="shared" ref="U63" si="41">V63+X63</f>
        <v>20</v>
      </c>
      <c r="V63" s="463">
        <f>V62+V58</f>
        <v>20</v>
      </c>
      <c r="W63" s="463">
        <f t="shared" ref="W63:X63" si="42">W62+W58</f>
        <v>0</v>
      </c>
      <c r="X63" s="465">
        <f t="shared" si="42"/>
        <v>0</v>
      </c>
    </row>
    <row r="64" spans="1:24" ht="12.75" customHeight="1" thickBot="1" x14ac:dyDescent="0.25">
      <c r="A64" s="2114">
        <v>2</v>
      </c>
      <c r="B64" s="610">
        <v>2</v>
      </c>
      <c r="C64" s="2863" t="s">
        <v>358</v>
      </c>
      <c r="D64" s="2864"/>
      <c r="E64" s="2864"/>
      <c r="F64" s="2864"/>
      <c r="G64" s="2864"/>
      <c r="H64" s="2864"/>
      <c r="I64" s="2864"/>
      <c r="J64" s="2864"/>
      <c r="K64" s="2864"/>
      <c r="L64" s="2864"/>
      <c r="M64" s="2864"/>
      <c r="N64" s="2864"/>
      <c r="O64" s="2864"/>
      <c r="P64" s="2864"/>
      <c r="Q64" s="2864"/>
      <c r="R64" s="2864"/>
      <c r="S64" s="2864"/>
      <c r="T64" s="2864"/>
      <c r="U64" s="2864"/>
      <c r="V64" s="2864"/>
      <c r="W64" s="2864"/>
      <c r="X64" s="2865"/>
    </row>
    <row r="65" spans="1:24" ht="16.5" customHeight="1" x14ac:dyDescent="0.2">
      <c r="A65" s="2704">
        <v>2</v>
      </c>
      <c r="B65" s="2545">
        <v>2</v>
      </c>
      <c r="C65" s="2531">
        <v>1</v>
      </c>
      <c r="D65" s="2843" t="s">
        <v>359</v>
      </c>
      <c r="E65" s="2500" t="s">
        <v>353</v>
      </c>
      <c r="F65" s="2531" t="s">
        <v>360</v>
      </c>
      <c r="G65" s="2531" t="s">
        <v>361</v>
      </c>
      <c r="H65" s="407" t="s">
        <v>362</v>
      </c>
      <c r="I65" s="738">
        <f>L65+J65</f>
        <v>293</v>
      </c>
      <c r="J65" s="377">
        <v>263.2</v>
      </c>
      <c r="K65" s="377"/>
      <c r="L65" s="390">
        <v>29.8</v>
      </c>
      <c r="M65" s="739">
        <f>N65+P65</f>
        <v>280</v>
      </c>
      <c r="N65" s="377">
        <v>250</v>
      </c>
      <c r="O65" s="349"/>
      <c r="P65" s="2083">
        <v>30</v>
      </c>
      <c r="Q65" s="408">
        <v>280</v>
      </c>
      <c r="R65" s="349">
        <v>280</v>
      </c>
      <c r="S65" s="349"/>
      <c r="T65" s="2083"/>
      <c r="U65" s="408">
        <v>280</v>
      </c>
      <c r="V65" s="349">
        <v>280</v>
      </c>
      <c r="W65" s="349"/>
      <c r="X65" s="2083"/>
    </row>
    <row r="66" spans="1:24" ht="16.5" customHeight="1" x14ac:dyDescent="0.2">
      <c r="A66" s="2704"/>
      <c r="B66" s="2545"/>
      <c r="C66" s="2531"/>
      <c r="D66" s="2843"/>
      <c r="E66" s="2500"/>
      <c r="F66" s="2531"/>
      <c r="G66" s="2531"/>
      <c r="H66" s="407" t="s">
        <v>33</v>
      </c>
      <c r="I66" s="738">
        <v>3.8</v>
      </c>
      <c r="J66" s="377">
        <v>3.8</v>
      </c>
      <c r="K66" s="377"/>
      <c r="L66" s="390"/>
      <c r="M66" s="739">
        <v>15</v>
      </c>
      <c r="N66" s="377">
        <v>15</v>
      </c>
      <c r="O66" s="349"/>
      <c r="P66" s="350"/>
      <c r="Q66" s="429"/>
      <c r="R66" s="380"/>
      <c r="S66" s="380"/>
      <c r="T66" s="383"/>
      <c r="U66" s="429"/>
      <c r="V66" s="380"/>
      <c r="W66" s="380"/>
      <c r="X66" s="383"/>
    </row>
    <row r="67" spans="1:24" ht="16.5" customHeight="1" thickBot="1" x14ac:dyDescent="0.25">
      <c r="A67" s="2704"/>
      <c r="B67" s="2545"/>
      <c r="C67" s="2531"/>
      <c r="D67" s="2843"/>
      <c r="E67" s="2500"/>
      <c r="F67" s="2531"/>
      <c r="G67" s="2531"/>
      <c r="H67" s="407" t="s">
        <v>363</v>
      </c>
      <c r="I67" s="348">
        <v>52.6</v>
      </c>
      <c r="J67" s="349">
        <v>52.6</v>
      </c>
      <c r="K67" s="349"/>
      <c r="L67" s="350"/>
      <c r="M67" s="2275">
        <v>65.400000000000006</v>
      </c>
      <c r="N67" s="1551">
        <v>65.400000000000006</v>
      </c>
      <c r="O67" s="349"/>
      <c r="P67" s="350"/>
      <c r="Q67" s="1106"/>
      <c r="R67" s="355"/>
      <c r="S67" s="355"/>
      <c r="T67" s="356"/>
      <c r="U67" s="1106"/>
      <c r="V67" s="355"/>
      <c r="W67" s="355"/>
      <c r="X67" s="356"/>
    </row>
    <row r="68" spans="1:24" ht="18" customHeight="1" thickBot="1" x14ac:dyDescent="0.25">
      <c r="A68" s="2704"/>
      <c r="B68" s="2545"/>
      <c r="C68" s="2530"/>
      <c r="D68" s="2814"/>
      <c r="E68" s="2532"/>
      <c r="F68" s="2817" t="s">
        <v>35</v>
      </c>
      <c r="G68" s="2818"/>
      <c r="H68" s="2819"/>
      <c r="I68" s="660">
        <f t="shared" ref="I68" si="43">SUM(J68,L68)</f>
        <v>349.40000000000003</v>
      </c>
      <c r="J68" s="661">
        <f>SUM(J65:J67)</f>
        <v>319.60000000000002</v>
      </c>
      <c r="K68" s="661"/>
      <c r="L68" s="662">
        <f>SUM(L65:L67)</f>
        <v>29.8</v>
      </c>
      <c r="M68" s="660">
        <f t="shared" ref="M68" si="44">SUM(N68,P68)</f>
        <v>360.4</v>
      </c>
      <c r="N68" s="661">
        <f>SUM(N65:N67)</f>
        <v>330.4</v>
      </c>
      <c r="O68" s="661"/>
      <c r="P68" s="662">
        <f>SUM(P65:P67)</f>
        <v>30</v>
      </c>
      <c r="Q68" s="764">
        <f t="shared" ref="Q68" si="45">SUM(R68,T68)</f>
        <v>280</v>
      </c>
      <c r="R68" s="664">
        <f>SUM(R65:R67)</f>
        <v>280</v>
      </c>
      <c r="S68" s="664"/>
      <c r="T68" s="662">
        <f>SUM(T65:T67)</f>
        <v>0</v>
      </c>
      <c r="U68" s="764">
        <f t="shared" ref="U68" si="46">SUM(V68,X68)</f>
        <v>280</v>
      </c>
      <c r="V68" s="664">
        <f>SUM(V65:V67)</f>
        <v>280</v>
      </c>
      <c r="W68" s="664"/>
      <c r="X68" s="662">
        <f>SUM(X65:X67)</f>
        <v>0</v>
      </c>
    </row>
    <row r="69" spans="1:24" ht="24.75" customHeight="1" thickBot="1" x14ac:dyDescent="0.25">
      <c r="A69" s="2844">
        <v>2</v>
      </c>
      <c r="B69" s="2845">
        <v>2</v>
      </c>
      <c r="C69" s="2846">
        <v>2</v>
      </c>
      <c r="D69" s="2814" t="s">
        <v>364</v>
      </c>
      <c r="E69" s="2856" t="s">
        <v>365</v>
      </c>
      <c r="F69" s="741" t="s">
        <v>342</v>
      </c>
      <c r="G69" s="2125" t="s">
        <v>366</v>
      </c>
      <c r="H69" s="715" t="s">
        <v>367</v>
      </c>
      <c r="I69" s="739">
        <f>SUM(J69,L69)</f>
        <v>2100</v>
      </c>
      <c r="J69" s="718">
        <f>1800+300</f>
        <v>2100</v>
      </c>
      <c r="K69" s="718"/>
      <c r="L69" s="719">
        <v>0</v>
      </c>
      <c r="M69" s="739">
        <f>SUM(N69,P69)</f>
        <v>2060</v>
      </c>
      <c r="N69" s="718">
        <v>2060</v>
      </c>
      <c r="O69" s="718"/>
      <c r="P69" s="720">
        <v>0</v>
      </c>
      <c r="Q69" s="2276">
        <v>2500</v>
      </c>
      <c r="R69" s="731">
        <v>2500</v>
      </c>
      <c r="S69" s="731"/>
      <c r="T69" s="656">
        <v>0</v>
      </c>
      <c r="U69" s="2276">
        <v>2500</v>
      </c>
      <c r="V69" s="731">
        <v>2500</v>
      </c>
      <c r="W69" s="731"/>
      <c r="X69" s="656">
        <v>0</v>
      </c>
    </row>
    <row r="70" spans="1:24" ht="23.25" customHeight="1" thickBot="1" x14ac:dyDescent="0.25">
      <c r="A70" s="2844"/>
      <c r="B70" s="2845"/>
      <c r="C70" s="2846"/>
      <c r="D70" s="2814"/>
      <c r="E70" s="2856"/>
      <c r="F70" s="2810" t="s">
        <v>35</v>
      </c>
      <c r="G70" s="2811"/>
      <c r="H70" s="2812"/>
      <c r="I70" s="660">
        <f t="shared" ref="I70:I71" si="47">SUM(J70,L70)</f>
        <v>2100</v>
      </c>
      <c r="J70" s="664">
        <f>SUM(J69:J69)</f>
        <v>2100</v>
      </c>
      <c r="K70" s="664"/>
      <c r="L70" s="662">
        <f>SUM(L69:L69)</f>
        <v>0</v>
      </c>
      <c r="M70" s="660">
        <f t="shared" ref="M70" si="48">SUM(N70,P70)</f>
        <v>2060</v>
      </c>
      <c r="N70" s="664">
        <v>2060</v>
      </c>
      <c r="O70" s="664"/>
      <c r="P70" s="662">
        <f>SUM(P69:P69)</f>
        <v>0</v>
      </c>
      <c r="Q70" s="764">
        <f t="shared" ref="Q70:Q71" si="49">SUM(R70,T70)</f>
        <v>2500</v>
      </c>
      <c r="R70" s="664">
        <f>SUM(R69:R69)</f>
        <v>2500</v>
      </c>
      <c r="S70" s="664"/>
      <c r="T70" s="662">
        <f>SUM(T69:T69)</f>
        <v>0</v>
      </c>
      <c r="U70" s="764">
        <f t="shared" ref="U70:U71" si="50">SUM(V70,X70)</f>
        <v>2500</v>
      </c>
      <c r="V70" s="664">
        <f>SUM(V69:V69)</f>
        <v>2500</v>
      </c>
      <c r="W70" s="664"/>
      <c r="X70" s="662">
        <f>SUM(X69:X69)</f>
        <v>0</v>
      </c>
    </row>
    <row r="71" spans="1:24" ht="14.25" customHeight="1" x14ac:dyDescent="0.2">
      <c r="A71" s="2834">
        <v>2</v>
      </c>
      <c r="B71" s="2836">
        <v>2</v>
      </c>
      <c r="C71" s="2838">
        <v>4</v>
      </c>
      <c r="D71" s="2840" t="s">
        <v>368</v>
      </c>
      <c r="E71" s="2841" t="s">
        <v>353</v>
      </c>
      <c r="F71" s="2847" t="s">
        <v>369</v>
      </c>
      <c r="G71" s="2847" t="s">
        <v>370</v>
      </c>
      <c r="H71" s="742" t="s">
        <v>30</v>
      </c>
      <c r="I71" s="743">
        <f t="shared" si="47"/>
        <v>4.5999999999999996</v>
      </c>
      <c r="J71" s="66">
        <v>4.5999999999999996</v>
      </c>
      <c r="K71" s="744">
        <v>4.5999999999999996</v>
      </c>
      <c r="L71" s="745"/>
      <c r="M71" s="743">
        <f>N71+P71</f>
        <v>9</v>
      </c>
      <c r="N71" s="66">
        <v>9</v>
      </c>
      <c r="O71" s="744">
        <v>5.0999999999999996</v>
      </c>
      <c r="P71" s="56"/>
      <c r="Q71" s="746">
        <f t="shared" si="49"/>
        <v>0</v>
      </c>
      <c r="R71" s="747"/>
      <c r="S71" s="747">
        <v>0</v>
      </c>
      <c r="T71" s="748"/>
      <c r="U71" s="746">
        <f t="shared" si="50"/>
        <v>0</v>
      </c>
      <c r="V71" s="747"/>
      <c r="W71" s="747">
        <v>0</v>
      </c>
      <c r="X71" s="748"/>
    </row>
    <row r="72" spans="1:24" ht="11.25" x14ac:dyDescent="0.2">
      <c r="A72" s="2849"/>
      <c r="B72" s="2836"/>
      <c r="C72" s="2853"/>
      <c r="D72" s="2855"/>
      <c r="E72" s="2854"/>
      <c r="F72" s="2848"/>
      <c r="G72" s="2848"/>
      <c r="H72" s="750" t="s">
        <v>367</v>
      </c>
      <c r="I72" s="751"/>
      <c r="J72" s="747"/>
      <c r="K72" s="746"/>
      <c r="L72" s="752"/>
      <c r="M72" s="751">
        <f>N72+P72</f>
        <v>235</v>
      </c>
      <c r="N72" s="747"/>
      <c r="O72" s="746"/>
      <c r="P72" s="748">
        <v>235</v>
      </c>
      <c r="Q72" s="746"/>
      <c r="R72" s="747"/>
      <c r="S72" s="747"/>
      <c r="T72" s="748"/>
      <c r="U72" s="746"/>
      <c r="V72" s="747"/>
      <c r="W72" s="747"/>
      <c r="X72" s="748"/>
    </row>
    <row r="73" spans="1:24" ht="14.25" customHeight="1" x14ac:dyDescent="0.2">
      <c r="A73" s="2849"/>
      <c r="B73" s="2836"/>
      <c r="C73" s="2853"/>
      <c r="D73" s="2855"/>
      <c r="E73" s="2854"/>
      <c r="F73" s="2848"/>
      <c r="G73" s="2848"/>
      <c r="H73" s="753" t="s">
        <v>33</v>
      </c>
      <c r="I73" s="754">
        <f>J73+L73</f>
        <v>4.8</v>
      </c>
      <c r="J73" s="70"/>
      <c r="K73" s="755"/>
      <c r="L73" s="756">
        <v>4.8</v>
      </c>
      <c r="M73" s="757">
        <f>N73+P73</f>
        <v>13.9</v>
      </c>
      <c r="N73" s="726"/>
      <c r="O73" s="725"/>
      <c r="P73" s="727">
        <v>13.9</v>
      </c>
      <c r="Q73" s="755"/>
      <c r="R73" s="70"/>
      <c r="S73" s="70"/>
      <c r="T73" s="71"/>
      <c r="U73" s="755"/>
      <c r="V73" s="70"/>
      <c r="W73" s="70"/>
      <c r="X73" s="71"/>
    </row>
    <row r="74" spans="1:24" ht="14.25" customHeight="1" thickBot="1" x14ac:dyDescent="0.25">
      <c r="A74" s="2849"/>
      <c r="B74" s="2836"/>
      <c r="C74" s="2853"/>
      <c r="D74" s="2855"/>
      <c r="E74" s="2854"/>
      <c r="F74" s="2848"/>
      <c r="G74" s="2848"/>
      <c r="H74" s="758" t="s">
        <v>111</v>
      </c>
      <c r="I74" s="2242">
        <f>J74+L74</f>
        <v>7.5</v>
      </c>
      <c r="J74" s="659"/>
      <c r="K74" s="658"/>
      <c r="L74" s="759">
        <v>7.5</v>
      </c>
      <c r="M74" s="2242">
        <f>N74+P74</f>
        <v>215.9</v>
      </c>
      <c r="N74" s="659"/>
      <c r="O74" s="658"/>
      <c r="P74" s="657">
        <v>215.9</v>
      </c>
      <c r="Q74" s="755"/>
      <c r="R74" s="70"/>
      <c r="S74" s="70"/>
      <c r="T74" s="71"/>
      <c r="U74" s="755"/>
      <c r="V74" s="70"/>
      <c r="W74" s="70"/>
      <c r="X74" s="71"/>
    </row>
    <row r="75" spans="1:24" ht="18.75" customHeight="1" thickBot="1" x14ac:dyDescent="0.25">
      <c r="A75" s="2835"/>
      <c r="B75" s="2837"/>
      <c r="C75" s="2839"/>
      <c r="D75" s="2831"/>
      <c r="E75" s="2842"/>
      <c r="F75" s="2810" t="s">
        <v>35</v>
      </c>
      <c r="G75" s="2811"/>
      <c r="H75" s="2812"/>
      <c r="I75" s="660">
        <f t="shared" ref="I75" si="51">SUM(J75,L75)</f>
        <v>16.899999999999999</v>
      </c>
      <c r="J75" s="664">
        <f>SUM(J71:J74)</f>
        <v>4.5999999999999996</v>
      </c>
      <c r="K75" s="664">
        <f>SUM(K71:K74)</f>
        <v>4.5999999999999996</v>
      </c>
      <c r="L75" s="662">
        <f>SUM(L71:L74)</f>
        <v>12.3</v>
      </c>
      <c r="M75" s="660">
        <f t="shared" ref="M75" si="52">SUM(N75,P75)</f>
        <v>473.8</v>
      </c>
      <c r="N75" s="664">
        <f>SUM(N71:N74)</f>
        <v>9</v>
      </c>
      <c r="O75" s="664">
        <f>SUM(O71:O74)</f>
        <v>5.0999999999999996</v>
      </c>
      <c r="P75" s="661">
        <f>SUM(P71:P74)</f>
        <v>464.8</v>
      </c>
      <c r="Q75" s="663">
        <f t="shared" ref="Q75" si="53">SUM(R75,T75)</f>
        <v>0</v>
      </c>
      <c r="R75" s="664">
        <f>SUM(R71:R74)</f>
        <v>0</v>
      </c>
      <c r="S75" s="664">
        <f>SUM(S71:S74)</f>
        <v>0</v>
      </c>
      <c r="T75" s="662">
        <f>SUM(T71:T74)</f>
        <v>0</v>
      </c>
      <c r="U75" s="663">
        <f t="shared" ref="U75" si="54">SUM(V75,X75)</f>
        <v>0</v>
      </c>
      <c r="V75" s="664">
        <f>SUM(V71:V74)</f>
        <v>0</v>
      </c>
      <c r="W75" s="664">
        <f>SUM(W71:W74)</f>
        <v>0</v>
      </c>
      <c r="X75" s="662">
        <f>SUM(X71:X74)</f>
        <v>0</v>
      </c>
    </row>
    <row r="76" spans="1:24" ht="24.75" customHeight="1" x14ac:dyDescent="0.2">
      <c r="A76" s="2834">
        <v>2</v>
      </c>
      <c r="B76" s="2850">
        <v>2</v>
      </c>
      <c r="C76" s="2846">
        <v>5</v>
      </c>
      <c r="D76" s="2804" t="s">
        <v>371</v>
      </c>
      <c r="E76" s="2841" t="s">
        <v>353</v>
      </c>
      <c r="F76" s="2531" t="s">
        <v>342</v>
      </c>
      <c r="G76" s="2806" t="s">
        <v>372</v>
      </c>
      <c r="H76" s="760" t="s">
        <v>33</v>
      </c>
      <c r="I76" s="665">
        <f>J76+L76</f>
        <v>31</v>
      </c>
      <c r="J76" s="66">
        <v>31</v>
      </c>
      <c r="K76" s="66"/>
      <c r="L76" s="56"/>
      <c r="M76" s="665">
        <v>32.1</v>
      </c>
      <c r="N76" s="66">
        <v>32.1</v>
      </c>
      <c r="O76" s="66"/>
      <c r="P76" s="56"/>
      <c r="Q76" s="746">
        <v>17.899999999999999</v>
      </c>
      <c r="R76" s="747">
        <v>17.899999999999999</v>
      </c>
      <c r="S76" s="747"/>
      <c r="T76" s="748"/>
      <c r="U76" s="746"/>
      <c r="V76" s="747"/>
      <c r="W76" s="747"/>
      <c r="X76" s="748"/>
    </row>
    <row r="77" spans="1:24" ht="24.75" customHeight="1" thickBot="1" x14ac:dyDescent="0.25">
      <c r="A77" s="2849"/>
      <c r="B77" s="2851"/>
      <c r="C77" s="2853"/>
      <c r="D77" s="2805"/>
      <c r="E77" s="2854"/>
      <c r="F77" s="2510"/>
      <c r="G77" s="2808"/>
      <c r="H77" s="2243" t="s">
        <v>30</v>
      </c>
      <c r="I77" s="668">
        <f>J77+L77</f>
        <v>18.3</v>
      </c>
      <c r="J77" s="75">
        <v>18.3</v>
      </c>
      <c r="K77" s="75"/>
      <c r="L77" s="76"/>
      <c r="M77" s="668">
        <v>32.1</v>
      </c>
      <c r="N77" s="75">
        <v>32.1</v>
      </c>
      <c r="O77" s="75"/>
      <c r="P77" s="76"/>
      <c r="Q77" s="761">
        <v>30</v>
      </c>
      <c r="R77" s="762">
        <v>30</v>
      </c>
      <c r="S77" s="762"/>
      <c r="T77" s="763"/>
      <c r="U77" s="761">
        <v>30</v>
      </c>
      <c r="V77" s="762">
        <v>30</v>
      </c>
      <c r="W77" s="762"/>
      <c r="X77" s="763"/>
    </row>
    <row r="78" spans="1:24" ht="15.75" customHeight="1" thickBot="1" x14ac:dyDescent="0.25">
      <c r="A78" s="2835"/>
      <c r="B78" s="2852"/>
      <c r="C78" s="2853"/>
      <c r="D78" s="2805"/>
      <c r="E78" s="2854"/>
      <c r="F78" s="2810" t="s">
        <v>35</v>
      </c>
      <c r="G78" s="2811"/>
      <c r="H78" s="2812"/>
      <c r="I78" s="660">
        <f>J78+L78</f>
        <v>49.3</v>
      </c>
      <c r="J78" s="661">
        <f>J76+J77</f>
        <v>49.3</v>
      </c>
      <c r="K78" s="661"/>
      <c r="L78" s="662">
        <f>L76</f>
        <v>0</v>
      </c>
      <c r="M78" s="660">
        <v>64.2</v>
      </c>
      <c r="N78" s="661">
        <f>N76+N77</f>
        <v>64.2</v>
      </c>
      <c r="O78" s="661"/>
      <c r="P78" s="662">
        <f>P76</f>
        <v>0</v>
      </c>
      <c r="Q78" s="764">
        <f>Q76</f>
        <v>17.899999999999999</v>
      </c>
      <c r="R78" s="664">
        <f>R76+R77</f>
        <v>47.9</v>
      </c>
      <c r="S78" s="664"/>
      <c r="T78" s="662">
        <f>T76</f>
        <v>0</v>
      </c>
      <c r="U78" s="764">
        <v>30</v>
      </c>
      <c r="V78" s="664">
        <f>V76+V77</f>
        <v>30</v>
      </c>
      <c r="W78" s="664"/>
      <c r="X78" s="662">
        <f>X76</f>
        <v>0</v>
      </c>
    </row>
    <row r="79" spans="1:24" ht="24.75" customHeight="1" thickBot="1" x14ac:dyDescent="0.25">
      <c r="A79" s="2844">
        <v>2</v>
      </c>
      <c r="B79" s="2845">
        <v>2</v>
      </c>
      <c r="C79" s="2846">
        <v>6</v>
      </c>
      <c r="D79" s="2832" t="s">
        <v>373</v>
      </c>
      <c r="E79" s="2809" t="s">
        <v>374</v>
      </c>
      <c r="F79" s="765" t="s">
        <v>342</v>
      </c>
      <c r="G79" s="2125" t="s">
        <v>375</v>
      </c>
      <c r="H79" s="766" t="s">
        <v>376</v>
      </c>
      <c r="I79" s="739"/>
      <c r="J79" s="718"/>
      <c r="K79" s="718"/>
      <c r="L79" s="719"/>
      <c r="M79" s="739">
        <v>403.8</v>
      </c>
      <c r="N79" s="718"/>
      <c r="O79" s="718"/>
      <c r="P79" s="720">
        <v>403.8</v>
      </c>
      <c r="Q79" s="2276"/>
      <c r="R79" s="731"/>
      <c r="S79" s="731"/>
      <c r="T79" s="656">
        <v>0</v>
      </c>
      <c r="U79" s="2276"/>
      <c r="V79" s="731"/>
      <c r="W79" s="731"/>
      <c r="X79" s="656">
        <v>0</v>
      </c>
    </row>
    <row r="80" spans="1:24" ht="23.25" customHeight="1" thickBot="1" x14ac:dyDescent="0.25">
      <c r="A80" s="2844"/>
      <c r="B80" s="2845"/>
      <c r="C80" s="2838"/>
      <c r="D80" s="2840"/>
      <c r="E80" s="2841"/>
      <c r="F80" s="2810" t="s">
        <v>35</v>
      </c>
      <c r="G80" s="2811"/>
      <c r="H80" s="2812"/>
      <c r="I80" s="660">
        <f t="shared" ref="I80" si="55">SUM(J80,L80)</f>
        <v>0</v>
      </c>
      <c r="J80" s="664">
        <f>SUM(J79:J79)</f>
        <v>0</v>
      </c>
      <c r="K80" s="664"/>
      <c r="L80" s="662"/>
      <c r="M80" s="660">
        <f t="shared" ref="M80" si="56">SUM(N80,P80)</f>
        <v>403.8</v>
      </c>
      <c r="N80" s="664">
        <f>SUM(N79:N79)</f>
        <v>0</v>
      </c>
      <c r="O80" s="664"/>
      <c r="P80" s="662">
        <f>SUM(P79:P79)</f>
        <v>403.8</v>
      </c>
      <c r="Q80" s="764">
        <f t="shared" ref="Q80" si="57">SUM(R80,T80)</f>
        <v>0</v>
      </c>
      <c r="R80" s="664">
        <f>SUM(R79:R79)</f>
        <v>0</v>
      </c>
      <c r="S80" s="664"/>
      <c r="T80" s="662">
        <f>SUM(T79:T79)</f>
        <v>0</v>
      </c>
      <c r="U80" s="764">
        <f t="shared" ref="U80" si="58">SUM(V80,X80)</f>
        <v>0</v>
      </c>
      <c r="V80" s="664">
        <f>SUM(V79:V79)</f>
        <v>0</v>
      </c>
      <c r="W80" s="664"/>
      <c r="X80" s="662">
        <f>SUM(X79:X79)</f>
        <v>0</v>
      </c>
    </row>
    <row r="81" spans="1:28" ht="24.75" customHeight="1" thickBot="1" x14ac:dyDescent="0.25">
      <c r="A81" s="2844">
        <v>2</v>
      </c>
      <c r="B81" s="2845">
        <v>2</v>
      </c>
      <c r="C81" s="2846">
        <v>7</v>
      </c>
      <c r="D81" s="2814" t="s">
        <v>377</v>
      </c>
      <c r="E81" s="2809" t="s">
        <v>353</v>
      </c>
      <c r="F81" s="765" t="s">
        <v>342</v>
      </c>
      <c r="G81" s="2125" t="s">
        <v>378</v>
      </c>
      <c r="H81" s="766" t="s">
        <v>33</v>
      </c>
      <c r="I81" s="739">
        <f>J81+L81</f>
        <v>7.6</v>
      </c>
      <c r="J81" s="718"/>
      <c r="K81" s="718"/>
      <c r="L81" s="719">
        <f>3.8+3.8</f>
        <v>7.6</v>
      </c>
      <c r="M81" s="739"/>
      <c r="N81" s="718"/>
      <c r="O81" s="718"/>
      <c r="P81" s="720">
        <v>0</v>
      </c>
      <c r="Q81" s="2276"/>
      <c r="R81" s="731"/>
      <c r="S81" s="731"/>
      <c r="T81" s="656">
        <v>0</v>
      </c>
      <c r="U81" s="2276"/>
      <c r="V81" s="731"/>
      <c r="W81" s="731"/>
      <c r="X81" s="656">
        <v>0</v>
      </c>
    </row>
    <row r="82" spans="1:28" ht="23.25" customHeight="1" thickBot="1" x14ac:dyDescent="0.25">
      <c r="A82" s="2844"/>
      <c r="B82" s="2845"/>
      <c r="C82" s="2838"/>
      <c r="D82" s="2804"/>
      <c r="E82" s="2841"/>
      <c r="F82" s="2810" t="s">
        <v>35</v>
      </c>
      <c r="G82" s="2811"/>
      <c r="H82" s="2812"/>
      <c r="I82" s="660">
        <f t="shared" ref="I82:I86" si="59">SUM(J82,L82)</f>
        <v>7.6</v>
      </c>
      <c r="J82" s="664">
        <f>SUM(J81:J81)</f>
        <v>0</v>
      </c>
      <c r="K82" s="664"/>
      <c r="L82" s="662">
        <f>SUM(L81:L81)</f>
        <v>7.6</v>
      </c>
      <c r="M82" s="660">
        <f t="shared" ref="M82:M86" si="60">SUM(N82,P82)</f>
        <v>0</v>
      </c>
      <c r="N82" s="664">
        <f>SUM(N81:N81)</f>
        <v>0</v>
      </c>
      <c r="O82" s="664"/>
      <c r="P82" s="662">
        <f>SUM(P81:P81)</f>
        <v>0</v>
      </c>
      <c r="Q82" s="764">
        <f t="shared" ref="Q82:Q86" si="61">SUM(R82,T82)</f>
        <v>0</v>
      </c>
      <c r="R82" s="664">
        <f>SUM(R81:R81)</f>
        <v>0</v>
      </c>
      <c r="S82" s="664"/>
      <c r="T82" s="662">
        <f>SUM(T81:T81)</f>
        <v>0</v>
      </c>
      <c r="U82" s="764">
        <f t="shared" ref="U82:U86" si="62">SUM(V82,X82)</f>
        <v>0</v>
      </c>
      <c r="V82" s="664">
        <f>SUM(V81:V81)</f>
        <v>0</v>
      </c>
      <c r="W82" s="664"/>
      <c r="X82" s="662">
        <f>SUM(X81:X81)</f>
        <v>0</v>
      </c>
    </row>
    <row r="83" spans="1:28" ht="23.25" customHeight="1" thickBot="1" x14ac:dyDescent="0.25">
      <c r="A83" s="2834">
        <v>2</v>
      </c>
      <c r="B83" s="2836">
        <v>2</v>
      </c>
      <c r="C83" s="2838">
        <v>8</v>
      </c>
      <c r="D83" s="2804" t="s">
        <v>379</v>
      </c>
      <c r="E83" s="2841" t="s">
        <v>353</v>
      </c>
      <c r="F83" s="2125" t="s">
        <v>369</v>
      </c>
      <c r="G83" s="2125" t="s">
        <v>380</v>
      </c>
      <c r="H83" s="742" t="s">
        <v>30</v>
      </c>
      <c r="I83" s="767">
        <f t="shared" si="59"/>
        <v>0</v>
      </c>
      <c r="J83" s="66"/>
      <c r="K83" s="744">
        <v>0</v>
      </c>
      <c r="L83" s="745"/>
      <c r="M83" s="767">
        <f t="shared" si="60"/>
        <v>10</v>
      </c>
      <c r="N83" s="66">
        <v>10</v>
      </c>
      <c r="O83" s="744">
        <v>0</v>
      </c>
      <c r="P83" s="745"/>
      <c r="Q83" s="658">
        <f t="shared" si="61"/>
        <v>10</v>
      </c>
      <c r="R83" s="659">
        <v>10</v>
      </c>
      <c r="S83" s="659">
        <v>0</v>
      </c>
      <c r="T83" s="657"/>
      <c r="U83" s="658">
        <f t="shared" si="62"/>
        <v>0</v>
      </c>
      <c r="V83" s="659"/>
      <c r="W83" s="659">
        <v>0</v>
      </c>
      <c r="X83" s="657"/>
      <c r="Y83" s="103"/>
      <c r="Z83" s="103"/>
      <c r="AA83" s="103"/>
      <c r="AB83" s="103"/>
    </row>
    <row r="84" spans="1:28" ht="20.25" customHeight="1" thickBot="1" x14ac:dyDescent="0.25">
      <c r="A84" s="2835"/>
      <c r="B84" s="2837"/>
      <c r="C84" s="2839"/>
      <c r="D84" s="2843"/>
      <c r="E84" s="2842"/>
      <c r="F84" s="2810" t="s">
        <v>35</v>
      </c>
      <c r="G84" s="2811"/>
      <c r="H84" s="2812"/>
      <c r="I84" s="660">
        <f t="shared" si="59"/>
        <v>0</v>
      </c>
      <c r="J84" s="664">
        <f>SUM(J83:J83)</f>
        <v>0</v>
      </c>
      <c r="K84" s="664">
        <f>SUM(K83:K83)</f>
        <v>0</v>
      </c>
      <c r="L84" s="662">
        <f>SUM(L83:L83)</f>
        <v>0</v>
      </c>
      <c r="M84" s="660">
        <f t="shared" si="60"/>
        <v>10</v>
      </c>
      <c r="N84" s="664">
        <f>SUM(N83:N83)</f>
        <v>10</v>
      </c>
      <c r="O84" s="664">
        <f>SUM(O83:O83)</f>
        <v>0</v>
      </c>
      <c r="P84" s="662">
        <f>SUM(P83:P83)</f>
        <v>0</v>
      </c>
      <c r="Q84" s="764">
        <f t="shared" si="61"/>
        <v>10</v>
      </c>
      <c r="R84" s="664">
        <f>SUM(R83:R83)</f>
        <v>10</v>
      </c>
      <c r="S84" s="664">
        <f>SUM(S83:S83)</f>
        <v>0</v>
      </c>
      <c r="T84" s="662">
        <f>SUM(T83:T83)</f>
        <v>0</v>
      </c>
      <c r="U84" s="764">
        <f t="shared" si="62"/>
        <v>0</v>
      </c>
      <c r="V84" s="664">
        <f>SUM(V83:V83)</f>
        <v>0</v>
      </c>
      <c r="W84" s="664">
        <f>SUM(W83:W83)</f>
        <v>0</v>
      </c>
      <c r="X84" s="662">
        <f>SUM(X83:X83)</f>
        <v>0</v>
      </c>
      <c r="Y84" s="103"/>
      <c r="Z84" s="103"/>
      <c r="AA84" s="103"/>
      <c r="AB84" s="103"/>
    </row>
    <row r="85" spans="1:28" ht="23.25" customHeight="1" thickBot="1" x14ac:dyDescent="0.25">
      <c r="A85" s="2834">
        <v>2</v>
      </c>
      <c r="B85" s="2836">
        <v>2</v>
      </c>
      <c r="C85" s="2838">
        <v>9</v>
      </c>
      <c r="D85" s="2840" t="s">
        <v>381</v>
      </c>
      <c r="E85" s="2841" t="s">
        <v>353</v>
      </c>
      <c r="F85" s="2125" t="s">
        <v>369</v>
      </c>
      <c r="G85" s="2125" t="s">
        <v>382</v>
      </c>
      <c r="H85" s="766" t="s">
        <v>367</v>
      </c>
      <c r="I85" s="767">
        <f t="shared" si="59"/>
        <v>0</v>
      </c>
      <c r="J85" s="66"/>
      <c r="K85" s="744">
        <v>0</v>
      </c>
      <c r="L85" s="745"/>
      <c r="M85" s="767">
        <f t="shared" si="60"/>
        <v>205</v>
      </c>
      <c r="N85" s="66"/>
      <c r="O85" s="744">
        <v>0</v>
      </c>
      <c r="P85" s="745">
        <v>205</v>
      </c>
      <c r="Q85" s="658">
        <f t="shared" si="61"/>
        <v>0</v>
      </c>
      <c r="R85" s="659"/>
      <c r="S85" s="659">
        <v>0</v>
      </c>
      <c r="T85" s="657"/>
      <c r="U85" s="658">
        <f t="shared" si="62"/>
        <v>0</v>
      </c>
      <c r="V85" s="659"/>
      <c r="W85" s="659">
        <v>0</v>
      </c>
      <c r="X85" s="657"/>
      <c r="Y85" s="103"/>
      <c r="Z85" s="103"/>
      <c r="AA85" s="103"/>
      <c r="AB85" s="103"/>
    </row>
    <row r="86" spans="1:28" ht="20.25" customHeight="1" thickBot="1" x14ac:dyDescent="0.25">
      <c r="A86" s="2835"/>
      <c r="B86" s="2837"/>
      <c r="C86" s="2839"/>
      <c r="D86" s="2831"/>
      <c r="E86" s="2842"/>
      <c r="F86" s="2810" t="s">
        <v>35</v>
      </c>
      <c r="G86" s="2811"/>
      <c r="H86" s="2812"/>
      <c r="I86" s="660">
        <f t="shared" si="59"/>
        <v>0</v>
      </c>
      <c r="J86" s="664">
        <f>SUM(J85:J85)</f>
        <v>0</v>
      </c>
      <c r="K86" s="664">
        <f>SUM(K85:K85)</f>
        <v>0</v>
      </c>
      <c r="L86" s="662">
        <f>SUM(L85:L85)</f>
        <v>0</v>
      </c>
      <c r="M86" s="660">
        <f t="shared" si="60"/>
        <v>205</v>
      </c>
      <c r="N86" s="664">
        <f>SUM(N85:N85)</f>
        <v>0</v>
      </c>
      <c r="O86" s="664">
        <f>SUM(O85:O85)</f>
        <v>0</v>
      </c>
      <c r="P86" s="662">
        <f>SUM(P85:P85)</f>
        <v>205</v>
      </c>
      <c r="Q86" s="764">
        <f t="shared" si="61"/>
        <v>0</v>
      </c>
      <c r="R86" s="664">
        <f>SUM(R85:R85)</f>
        <v>0</v>
      </c>
      <c r="S86" s="664">
        <f>SUM(S85:S85)</f>
        <v>0</v>
      </c>
      <c r="T86" s="662">
        <f>SUM(T85:T85)</f>
        <v>0</v>
      </c>
      <c r="U86" s="764">
        <f t="shared" si="62"/>
        <v>0</v>
      </c>
      <c r="V86" s="664">
        <f>SUM(V85:V85)</f>
        <v>0</v>
      </c>
      <c r="W86" s="664">
        <f>SUM(W85:W85)</f>
        <v>0</v>
      </c>
      <c r="X86" s="662">
        <f>SUM(X85:X85)</f>
        <v>0</v>
      </c>
      <c r="Y86" s="103"/>
      <c r="Z86" s="103"/>
      <c r="AA86" s="103"/>
      <c r="AB86" s="103"/>
    </row>
    <row r="87" spans="1:28" ht="12.75" customHeight="1" thickBot="1" x14ac:dyDescent="0.25">
      <c r="A87" s="2112">
        <v>2</v>
      </c>
      <c r="B87" s="737">
        <v>2</v>
      </c>
      <c r="C87" s="2825" t="s">
        <v>234</v>
      </c>
      <c r="D87" s="2826"/>
      <c r="E87" s="2826"/>
      <c r="F87" s="2826"/>
      <c r="G87" s="2826"/>
      <c r="H87" s="2827"/>
      <c r="I87" s="406">
        <f>J87+L87</f>
        <v>2523.1999999999998</v>
      </c>
      <c r="J87" s="463">
        <f>J78+J75+J70+J68+J80+J82+J84+J86</f>
        <v>2473.5</v>
      </c>
      <c r="K87" s="463">
        <f t="shared" ref="K87:L87" si="63">K78+K75+K70+K68+K80+K82+K84+K86</f>
        <v>4.5999999999999996</v>
      </c>
      <c r="L87" s="463">
        <f t="shared" si="63"/>
        <v>49.7</v>
      </c>
      <c r="M87" s="406">
        <f>N87+P87</f>
        <v>3577.2</v>
      </c>
      <c r="N87" s="463">
        <f>N78+N75+N70+N68+N80+N82+N84+N86</f>
        <v>2473.6</v>
      </c>
      <c r="O87" s="463">
        <f t="shared" ref="O87:P87" si="64">O78+O75+O70+O68+O80+O82+O84+O86</f>
        <v>5.0999999999999996</v>
      </c>
      <c r="P87" s="463">
        <f t="shared" si="64"/>
        <v>1103.5999999999999</v>
      </c>
      <c r="Q87" s="406">
        <f>R87+T87</f>
        <v>2837.9</v>
      </c>
      <c r="R87" s="463">
        <f>R78+R75+R70+R68+R80+R82+R84+R86</f>
        <v>2837.9</v>
      </c>
      <c r="S87" s="463">
        <f t="shared" ref="S87:T87" si="65">S78+S75+S70+S68+S80+S82+S84+S86</f>
        <v>0</v>
      </c>
      <c r="T87" s="463">
        <f t="shared" si="65"/>
        <v>0</v>
      </c>
      <c r="U87" s="406">
        <f>V87+X87</f>
        <v>2810</v>
      </c>
      <c r="V87" s="463">
        <f>V78+V75+V70+V68+V80+V82+V84+V86</f>
        <v>2810</v>
      </c>
      <c r="W87" s="463">
        <f t="shared" ref="W87:X87" si="66">W78+W75+W70+W68+W80+W82+W84+W86</f>
        <v>0</v>
      </c>
      <c r="X87" s="465">
        <f t="shared" si="66"/>
        <v>0</v>
      </c>
    </row>
    <row r="88" spans="1:28" ht="18" customHeight="1" thickBot="1" x14ac:dyDescent="0.25">
      <c r="A88" s="2112">
        <v>2</v>
      </c>
      <c r="B88" s="768">
        <v>4</v>
      </c>
      <c r="C88" s="2828" t="s">
        <v>383</v>
      </c>
      <c r="D88" s="2829"/>
      <c r="E88" s="2829"/>
      <c r="F88" s="2829"/>
      <c r="G88" s="2829"/>
      <c r="H88" s="2829"/>
      <c r="I88" s="2829"/>
      <c r="J88" s="2829"/>
      <c r="K88" s="2829"/>
      <c r="L88" s="2829"/>
      <c r="M88" s="2829"/>
      <c r="N88" s="2829"/>
      <c r="O88" s="2829"/>
      <c r="P88" s="2829"/>
      <c r="Q88" s="2829"/>
      <c r="R88" s="2829"/>
      <c r="S88" s="2829"/>
      <c r="T88" s="2829"/>
      <c r="U88" s="2829"/>
      <c r="V88" s="2829"/>
      <c r="W88" s="2829"/>
      <c r="X88" s="2830"/>
      <c r="Y88" s="103"/>
      <c r="Z88" s="103"/>
      <c r="AA88" s="103"/>
      <c r="AB88" s="103"/>
    </row>
    <row r="89" spans="1:28" ht="24" customHeight="1" thickBot="1" x14ac:dyDescent="0.25">
      <c r="A89" s="2704">
        <v>2</v>
      </c>
      <c r="B89" s="2537">
        <v>4</v>
      </c>
      <c r="C89" s="2494">
        <v>1</v>
      </c>
      <c r="D89" s="2831" t="s">
        <v>384</v>
      </c>
      <c r="E89" s="2833">
        <v>19</v>
      </c>
      <c r="F89" s="2107" t="s">
        <v>342</v>
      </c>
      <c r="G89" s="2107" t="s">
        <v>385</v>
      </c>
      <c r="H89" s="769" t="s">
        <v>30</v>
      </c>
      <c r="I89" s="389">
        <f>J89+L89</f>
        <v>45.7</v>
      </c>
      <c r="J89" s="721">
        <v>35</v>
      </c>
      <c r="K89" s="706">
        <v>25.4</v>
      </c>
      <c r="L89" s="748">
        <v>10.7</v>
      </c>
      <c r="M89" s="389">
        <f>N89+P89</f>
        <v>48.5</v>
      </c>
      <c r="N89" s="2277">
        <f>39.4+8.1</f>
        <v>47.5</v>
      </c>
      <c r="O89" s="706">
        <v>26.7</v>
      </c>
      <c r="P89" s="749">
        <v>1</v>
      </c>
      <c r="Q89" s="59">
        <f>R89+T89</f>
        <v>41.6</v>
      </c>
      <c r="R89" s="721">
        <v>41.6</v>
      </c>
      <c r="S89" s="706">
        <v>28.5</v>
      </c>
      <c r="T89" s="61">
        <v>0</v>
      </c>
      <c r="U89" s="59">
        <v>41.6</v>
      </c>
      <c r="V89" s="721">
        <v>41.6</v>
      </c>
      <c r="W89" s="706">
        <v>28.5</v>
      </c>
      <c r="X89" s="61">
        <v>0</v>
      </c>
      <c r="Y89" s="103"/>
      <c r="Z89" s="103"/>
      <c r="AA89" s="103"/>
      <c r="AB89" s="103"/>
    </row>
    <row r="90" spans="1:28" ht="22.5" customHeight="1" thickBot="1" x14ac:dyDescent="0.25">
      <c r="A90" s="2704"/>
      <c r="B90" s="2537"/>
      <c r="C90" s="2526"/>
      <c r="D90" s="2832"/>
      <c r="E90" s="2816"/>
      <c r="F90" s="2817" t="s">
        <v>35</v>
      </c>
      <c r="G90" s="2818"/>
      <c r="H90" s="2819"/>
      <c r="I90" s="660">
        <f>SUM(J90,L90)</f>
        <v>45.7</v>
      </c>
      <c r="J90" s="664">
        <f>SUM(J89:J89)</f>
        <v>35</v>
      </c>
      <c r="K90" s="664">
        <f>SUM(K89:K89)</f>
        <v>25.4</v>
      </c>
      <c r="L90" s="662">
        <f>SUM(L89:L89)</f>
        <v>10.7</v>
      </c>
      <c r="M90" s="660">
        <f>SUM(N90,P90)</f>
        <v>48.5</v>
      </c>
      <c r="N90" s="664">
        <f>SUM(N89:N89)</f>
        <v>47.5</v>
      </c>
      <c r="O90" s="664">
        <f>SUM(O89:O89)</f>
        <v>26.7</v>
      </c>
      <c r="P90" s="661">
        <f>SUM(P89:P89)</f>
        <v>1</v>
      </c>
      <c r="Q90" s="663">
        <f>SUM(R90,T90)</f>
        <v>41.6</v>
      </c>
      <c r="R90" s="664">
        <f>SUM(R89:R89)</f>
        <v>41.6</v>
      </c>
      <c r="S90" s="664">
        <f>SUM(S89:S89)</f>
        <v>28.5</v>
      </c>
      <c r="T90" s="662">
        <f>SUM(T89:T89)</f>
        <v>0</v>
      </c>
      <c r="U90" s="663">
        <f>SUM(V90,X90)</f>
        <v>41.6</v>
      </c>
      <c r="V90" s="664">
        <f>SUM(V89:V89)</f>
        <v>41.6</v>
      </c>
      <c r="W90" s="664">
        <f>SUM(W89:W89)</f>
        <v>28.5</v>
      </c>
      <c r="X90" s="662">
        <f>SUM(X89:X89)</f>
        <v>0</v>
      </c>
      <c r="Y90" s="103"/>
      <c r="Z90" s="103"/>
      <c r="AA90" s="103"/>
      <c r="AB90" s="103"/>
    </row>
    <row r="91" spans="1:28" ht="21.75" customHeight="1" thickBot="1" x14ac:dyDescent="0.25">
      <c r="A91" s="2813">
        <v>2</v>
      </c>
      <c r="B91" s="2537">
        <v>4</v>
      </c>
      <c r="C91" s="2526">
        <v>2</v>
      </c>
      <c r="D91" s="2814" t="s">
        <v>386</v>
      </c>
      <c r="E91" s="2816">
        <v>20</v>
      </c>
      <c r="F91" s="2137" t="s">
        <v>342</v>
      </c>
      <c r="G91" s="2137" t="s">
        <v>387</v>
      </c>
      <c r="H91" s="770" t="s">
        <v>30</v>
      </c>
      <c r="I91" s="2084">
        <f>J91+L91</f>
        <v>62.6</v>
      </c>
      <c r="J91" s="2081">
        <v>58.9</v>
      </c>
      <c r="K91" s="2081">
        <v>33.200000000000003</v>
      </c>
      <c r="L91" s="2083">
        <f>4-0.3</f>
        <v>3.7</v>
      </c>
      <c r="M91" s="2084">
        <f>N91+P91</f>
        <v>80.599999999999994</v>
      </c>
      <c r="N91" s="2278">
        <f>72.5+8.1</f>
        <v>80.599999999999994</v>
      </c>
      <c r="O91" s="2081">
        <v>40.700000000000003</v>
      </c>
      <c r="P91" s="2124">
        <v>0</v>
      </c>
      <c r="Q91" s="485">
        <f>R91+T91</f>
        <v>68.5</v>
      </c>
      <c r="R91" s="2081">
        <v>68.5</v>
      </c>
      <c r="S91" s="2081">
        <v>41</v>
      </c>
      <c r="T91" s="2279">
        <v>0</v>
      </c>
      <c r="U91" s="485">
        <v>67.5</v>
      </c>
      <c r="V91" s="2081">
        <v>67.5</v>
      </c>
      <c r="W91" s="2081">
        <v>40</v>
      </c>
      <c r="X91" s="2279">
        <v>0</v>
      </c>
      <c r="Y91" s="103"/>
      <c r="Z91" s="103"/>
      <c r="AA91" s="103"/>
      <c r="AB91" s="103"/>
    </row>
    <row r="92" spans="1:28" ht="24.75" customHeight="1" thickBot="1" x14ac:dyDescent="0.25">
      <c r="A92" s="2813"/>
      <c r="B92" s="2537"/>
      <c r="C92" s="2526"/>
      <c r="D92" s="2814"/>
      <c r="E92" s="2816"/>
      <c r="F92" s="2817" t="s">
        <v>35</v>
      </c>
      <c r="G92" s="2818"/>
      <c r="H92" s="2819"/>
      <c r="I92" s="660">
        <f t="shared" ref="I92" si="67">SUM(J92,L92)</f>
        <v>62.6</v>
      </c>
      <c r="J92" s="664">
        <f>SUM(J91:J91)</f>
        <v>58.9</v>
      </c>
      <c r="K92" s="664">
        <f>SUM(K91:K91)</f>
        <v>33.200000000000003</v>
      </c>
      <c r="L92" s="662">
        <f>SUM(L91:L91)</f>
        <v>3.7</v>
      </c>
      <c r="M92" s="660">
        <f t="shared" ref="M92" si="68">SUM(N92,P92)</f>
        <v>80.599999999999994</v>
      </c>
      <c r="N92" s="664">
        <f>SUM(N91:N91)</f>
        <v>80.599999999999994</v>
      </c>
      <c r="O92" s="664">
        <f>SUM(O91:O91)</f>
        <v>40.700000000000003</v>
      </c>
      <c r="P92" s="661">
        <f>SUM(P91:P91)</f>
        <v>0</v>
      </c>
      <c r="Q92" s="663">
        <f t="shared" ref="Q92" si="69">SUM(R92,T92)</f>
        <v>68.5</v>
      </c>
      <c r="R92" s="664">
        <f>SUM(R91:R91)</f>
        <v>68.5</v>
      </c>
      <c r="S92" s="664">
        <f>SUM(S91:S91)</f>
        <v>41</v>
      </c>
      <c r="T92" s="662">
        <f>SUM(T91:T91)</f>
        <v>0</v>
      </c>
      <c r="U92" s="663">
        <f t="shared" ref="U92" si="70">SUM(V92,X92)</f>
        <v>67.5</v>
      </c>
      <c r="V92" s="664">
        <f>SUM(V91:V91)</f>
        <v>67.5</v>
      </c>
      <c r="W92" s="664">
        <f>SUM(W91:W91)</f>
        <v>40</v>
      </c>
      <c r="X92" s="662">
        <f>SUM(X91:X91)</f>
        <v>0</v>
      </c>
      <c r="Y92" s="103"/>
      <c r="Z92" s="103"/>
      <c r="AA92" s="103"/>
      <c r="AB92" s="103"/>
    </row>
    <row r="93" spans="1:28" ht="19.5" customHeight="1" thickBot="1" x14ac:dyDescent="0.25">
      <c r="A93" s="2813">
        <v>2</v>
      </c>
      <c r="B93" s="2537">
        <v>4</v>
      </c>
      <c r="C93" s="2526">
        <v>3</v>
      </c>
      <c r="D93" s="2814" t="s">
        <v>388</v>
      </c>
      <c r="E93" s="2816">
        <v>21</v>
      </c>
      <c r="F93" s="2137" t="s">
        <v>342</v>
      </c>
      <c r="G93" s="2137" t="s">
        <v>389</v>
      </c>
      <c r="H93" s="770" t="s">
        <v>30</v>
      </c>
      <c r="I93" s="2084">
        <f>J93+L93</f>
        <v>93.4</v>
      </c>
      <c r="J93" s="2082">
        <v>75.5</v>
      </c>
      <c r="K93" s="2081">
        <v>48.8</v>
      </c>
      <c r="L93" s="2083">
        <v>17.899999999999999</v>
      </c>
      <c r="M93" s="2084">
        <f>N93+P93</f>
        <v>95.5</v>
      </c>
      <c r="N93" s="2082">
        <v>92.5</v>
      </c>
      <c r="O93" s="2081">
        <v>58.8</v>
      </c>
      <c r="P93" s="2124">
        <v>3</v>
      </c>
      <c r="Q93" s="485">
        <f>R93+T93</f>
        <v>90.1</v>
      </c>
      <c r="R93" s="2082">
        <v>90.1</v>
      </c>
      <c r="S93" s="2081">
        <v>59</v>
      </c>
      <c r="T93" s="2279">
        <v>0</v>
      </c>
      <c r="U93" s="485">
        <v>88.3</v>
      </c>
      <c r="V93" s="2082">
        <v>88.3</v>
      </c>
      <c r="W93" s="2081">
        <v>59</v>
      </c>
      <c r="X93" s="2279">
        <v>0</v>
      </c>
      <c r="Y93" s="103"/>
      <c r="Z93" s="103"/>
      <c r="AA93" s="103"/>
      <c r="AB93" s="103"/>
    </row>
    <row r="94" spans="1:28" ht="19.5" customHeight="1" thickBot="1" x14ac:dyDescent="0.25">
      <c r="A94" s="2813"/>
      <c r="B94" s="2537"/>
      <c r="C94" s="2526"/>
      <c r="D94" s="2814"/>
      <c r="E94" s="2816"/>
      <c r="F94" s="2817" t="s">
        <v>35</v>
      </c>
      <c r="G94" s="2818"/>
      <c r="H94" s="2819"/>
      <c r="I94" s="660">
        <f>SUM(J94,L94)</f>
        <v>93.4</v>
      </c>
      <c r="J94" s="664">
        <f>SUM(J93:J93)</f>
        <v>75.5</v>
      </c>
      <c r="K94" s="664">
        <f>SUM(K93:K93)</f>
        <v>48.8</v>
      </c>
      <c r="L94" s="662">
        <f>SUM(L93:L93)</f>
        <v>17.899999999999999</v>
      </c>
      <c r="M94" s="660">
        <f t="shared" ref="M94" si="71">SUM(N94,P94)</f>
        <v>95.5</v>
      </c>
      <c r="N94" s="664">
        <f>SUM(N93:N93)</f>
        <v>92.5</v>
      </c>
      <c r="O94" s="664">
        <f>SUM(O93:O93)</f>
        <v>58.8</v>
      </c>
      <c r="P94" s="661">
        <f>SUM(P93:P93)</f>
        <v>3</v>
      </c>
      <c r="Q94" s="663">
        <f t="shared" ref="Q94" si="72">SUM(R94,T94)</f>
        <v>90.1</v>
      </c>
      <c r="R94" s="664">
        <f>SUM(R93:R93)</f>
        <v>90.1</v>
      </c>
      <c r="S94" s="664">
        <f>SUM(S93:S93)</f>
        <v>59</v>
      </c>
      <c r="T94" s="662">
        <f>SUM(T93:T93)</f>
        <v>0</v>
      </c>
      <c r="U94" s="663">
        <f t="shared" ref="U94" si="73">SUM(V94,X94)</f>
        <v>88.3</v>
      </c>
      <c r="V94" s="664">
        <f>SUM(V93:V93)</f>
        <v>88.3</v>
      </c>
      <c r="W94" s="664">
        <f>SUM(W93:W93)</f>
        <v>59</v>
      </c>
      <c r="X94" s="662">
        <f>SUM(X93:X93)</f>
        <v>0</v>
      </c>
      <c r="Y94" s="103"/>
      <c r="Z94" s="103"/>
      <c r="AA94" s="103"/>
      <c r="AB94" s="103"/>
    </row>
    <row r="95" spans="1:28" ht="19.5" customHeight="1" thickBot="1" x14ac:dyDescent="0.25">
      <c r="A95" s="2813">
        <v>2</v>
      </c>
      <c r="B95" s="2537">
        <v>4</v>
      </c>
      <c r="C95" s="2526">
        <v>4</v>
      </c>
      <c r="D95" s="2814" t="s">
        <v>390</v>
      </c>
      <c r="E95" s="2816">
        <v>22</v>
      </c>
      <c r="F95" s="2137" t="s">
        <v>342</v>
      </c>
      <c r="G95" s="2137" t="s">
        <v>391</v>
      </c>
      <c r="H95" s="82" t="s">
        <v>30</v>
      </c>
      <c r="I95" s="2084">
        <f>J95+L95</f>
        <v>52.1</v>
      </c>
      <c r="J95" s="2082">
        <v>52.1</v>
      </c>
      <c r="K95" s="2081">
        <v>27.8</v>
      </c>
      <c r="L95" s="56">
        <v>0</v>
      </c>
      <c r="M95" s="2084">
        <f>N95+P95</f>
        <v>80.5</v>
      </c>
      <c r="N95" s="1549">
        <f>64.4+8.1</f>
        <v>72.5</v>
      </c>
      <c r="O95" s="2081">
        <v>31.6</v>
      </c>
      <c r="P95" s="666">
        <v>8</v>
      </c>
      <c r="Q95" s="59">
        <f>R95+T95</f>
        <v>64</v>
      </c>
      <c r="R95" s="2082">
        <v>64</v>
      </c>
      <c r="S95" s="2081">
        <v>32.6</v>
      </c>
      <c r="T95" s="61">
        <v>0</v>
      </c>
      <c r="U95" s="59">
        <v>64</v>
      </c>
      <c r="V95" s="2082">
        <v>64</v>
      </c>
      <c r="W95" s="2081">
        <v>32.6</v>
      </c>
      <c r="X95" s="61">
        <v>0</v>
      </c>
      <c r="Y95" s="103"/>
      <c r="Z95" s="103"/>
      <c r="AA95" s="103"/>
      <c r="AB95" s="103"/>
    </row>
    <row r="96" spans="1:28" s="103" customFormat="1" ht="19.5" customHeight="1" thickBot="1" x14ac:dyDescent="0.25">
      <c r="A96" s="2813"/>
      <c r="B96" s="2537"/>
      <c r="C96" s="2526"/>
      <c r="D96" s="2814"/>
      <c r="E96" s="2816"/>
      <c r="F96" s="2777" t="s">
        <v>35</v>
      </c>
      <c r="G96" s="2778"/>
      <c r="H96" s="2779"/>
      <c r="I96" s="2342">
        <f t="shared" ref="I96" si="74">SUM(J96,L96)</f>
        <v>52.1</v>
      </c>
      <c r="J96" s="1342">
        <f>SUM(J95:J95)</f>
        <v>52.1</v>
      </c>
      <c r="K96" s="1342">
        <f>SUM(K95:K95)</f>
        <v>27.8</v>
      </c>
      <c r="L96" s="1343">
        <f>SUM(L95:L95)</f>
        <v>0</v>
      </c>
      <c r="M96" s="2342">
        <f t="shared" ref="M96" si="75">SUM(N96,P96)</f>
        <v>80.5</v>
      </c>
      <c r="N96" s="1342">
        <f>SUM(N95:N95)</f>
        <v>72.5</v>
      </c>
      <c r="O96" s="1342">
        <f>SUM(O95:O95)</f>
        <v>31.6</v>
      </c>
      <c r="P96" s="2343">
        <f>SUM(P95:P95)</f>
        <v>8</v>
      </c>
      <c r="Q96" s="1341">
        <f t="shared" ref="Q96" si="76">SUM(R96,T96)</f>
        <v>64</v>
      </c>
      <c r="R96" s="1342">
        <f>SUM(R95:R95)</f>
        <v>64</v>
      </c>
      <c r="S96" s="1342">
        <f>SUM(S95:S95)</f>
        <v>32.6</v>
      </c>
      <c r="T96" s="1343">
        <f>SUM(T95:T95)</f>
        <v>0</v>
      </c>
      <c r="U96" s="1341">
        <f t="shared" ref="U96" si="77">SUM(V96,X96)</f>
        <v>64</v>
      </c>
      <c r="V96" s="1342">
        <f>SUM(V95:V95)</f>
        <v>64</v>
      </c>
      <c r="W96" s="1342">
        <f>SUM(W95:W95)</f>
        <v>32.6</v>
      </c>
      <c r="X96" s="1343">
        <f>SUM(X95:X95)</f>
        <v>0</v>
      </c>
    </row>
    <row r="97" spans="1:28" s="103" customFormat="1" ht="19.5" customHeight="1" thickBot="1" x14ac:dyDescent="0.25">
      <c r="A97" s="2525">
        <v>2</v>
      </c>
      <c r="B97" s="2821">
        <v>4</v>
      </c>
      <c r="C97" s="2822">
        <v>5</v>
      </c>
      <c r="D97" s="2823" t="s">
        <v>392</v>
      </c>
      <c r="E97" s="2824">
        <v>23</v>
      </c>
      <c r="F97" s="2119" t="s">
        <v>342</v>
      </c>
      <c r="G97" s="2119" t="s">
        <v>393</v>
      </c>
      <c r="H97" s="2341" t="s">
        <v>30</v>
      </c>
      <c r="I97" s="442">
        <f>J97+L97</f>
        <v>392.8</v>
      </c>
      <c r="J97" s="443">
        <v>392.8</v>
      </c>
      <c r="K97" s="443">
        <v>277.2</v>
      </c>
      <c r="L97" s="444"/>
      <c r="M97" s="442">
        <f>N97+P97</f>
        <v>534.70000000000005</v>
      </c>
      <c r="N97" s="443">
        <f>496.6+8.1</f>
        <v>504.70000000000005</v>
      </c>
      <c r="O97" s="443">
        <v>344</v>
      </c>
      <c r="P97" s="444">
        <v>30</v>
      </c>
      <c r="Q97" s="442">
        <f>R97+T97</f>
        <v>517.1</v>
      </c>
      <c r="R97" s="443">
        <v>517.1</v>
      </c>
      <c r="S97" s="443">
        <v>345</v>
      </c>
      <c r="T97" s="444"/>
      <c r="U97" s="442">
        <v>494.6</v>
      </c>
      <c r="V97" s="443">
        <v>494.6</v>
      </c>
      <c r="W97" s="443">
        <v>345</v>
      </c>
      <c r="X97" s="444"/>
    </row>
    <row r="98" spans="1:28" s="103" customFormat="1" ht="18.75" customHeight="1" thickBot="1" x14ac:dyDescent="0.25">
      <c r="A98" s="2525"/>
      <c r="B98" s="2821"/>
      <c r="C98" s="2822"/>
      <c r="D98" s="2823"/>
      <c r="E98" s="2824"/>
      <c r="F98" s="2777" t="s">
        <v>35</v>
      </c>
      <c r="G98" s="2778"/>
      <c r="H98" s="2779"/>
      <c r="I98" s="710">
        <f t="shared" ref="I98" si="78">SUM(J98,L98)</f>
        <v>392.8</v>
      </c>
      <c r="J98" s="713">
        <f>SUM(J97:J97)</f>
        <v>392.8</v>
      </c>
      <c r="K98" s="713">
        <f>SUM(K97:K97)</f>
        <v>277.2</v>
      </c>
      <c r="L98" s="712">
        <f>SUM(L97:L97)</f>
        <v>0</v>
      </c>
      <c r="M98" s="710">
        <f t="shared" ref="M98" si="79">SUM(N98,P98)</f>
        <v>534.70000000000005</v>
      </c>
      <c r="N98" s="713">
        <f>SUM(N97:N97)</f>
        <v>504.70000000000005</v>
      </c>
      <c r="O98" s="713">
        <f>SUM(O97:O97)</f>
        <v>344</v>
      </c>
      <c r="P98" s="712">
        <f>SUM(P97:P97)</f>
        <v>30</v>
      </c>
      <c r="Q98" s="714">
        <f t="shared" ref="Q98" si="80">SUM(R98,T98)</f>
        <v>517.1</v>
      </c>
      <c r="R98" s="711">
        <f>SUM(R97:R97)</f>
        <v>517.1</v>
      </c>
      <c r="S98" s="711">
        <f>SUM(S97:S97)</f>
        <v>345</v>
      </c>
      <c r="T98" s="712">
        <f>SUM(T97:T97)</f>
        <v>0</v>
      </c>
      <c r="U98" s="714">
        <f t="shared" ref="U98" si="81">SUM(V98,X98)</f>
        <v>494.6</v>
      </c>
      <c r="V98" s="711">
        <f>SUM(V97:V97)</f>
        <v>494.6</v>
      </c>
      <c r="W98" s="711">
        <f>SUM(W97:W97)</f>
        <v>345</v>
      </c>
      <c r="X98" s="712">
        <f>SUM(X97:X97)</f>
        <v>0</v>
      </c>
    </row>
    <row r="99" spans="1:28" ht="19.5" customHeight="1" thickBot="1" x14ac:dyDescent="0.25">
      <c r="A99" s="2813">
        <v>2</v>
      </c>
      <c r="B99" s="2537">
        <v>4</v>
      </c>
      <c r="C99" s="2526">
        <v>6</v>
      </c>
      <c r="D99" s="2814" t="s">
        <v>394</v>
      </c>
      <c r="E99" s="2816">
        <v>24</v>
      </c>
      <c r="F99" s="2107" t="s">
        <v>342</v>
      </c>
      <c r="G99" s="2107" t="s">
        <v>395</v>
      </c>
      <c r="H99" s="769" t="s">
        <v>30</v>
      </c>
      <c r="I99" s="2084">
        <f>J99+L99</f>
        <v>35.800000000000004</v>
      </c>
      <c r="J99" s="2082">
        <v>32.700000000000003</v>
      </c>
      <c r="K99" s="2081">
        <v>26.7</v>
      </c>
      <c r="L99" s="56">
        <v>3.1</v>
      </c>
      <c r="M99" s="2084">
        <f>N99+P99</f>
        <v>46.2</v>
      </c>
      <c r="N99" s="2082">
        <f>43.2</f>
        <v>43.2</v>
      </c>
      <c r="O99" s="2081">
        <v>33.6</v>
      </c>
      <c r="P99" s="56">
        <v>3</v>
      </c>
      <c r="Q99" s="658">
        <f>R99+T99</f>
        <v>43.4</v>
      </c>
      <c r="R99" s="2082">
        <v>43.4</v>
      </c>
      <c r="S99" s="2081">
        <v>34</v>
      </c>
      <c r="T99" s="657">
        <v>0</v>
      </c>
      <c r="U99" s="658">
        <v>43.4</v>
      </c>
      <c r="V99" s="2082">
        <v>43.4</v>
      </c>
      <c r="W99" s="2081">
        <v>34</v>
      </c>
      <c r="X99" s="657">
        <v>0</v>
      </c>
      <c r="Y99" s="103"/>
      <c r="Z99" s="103"/>
      <c r="AA99" s="103"/>
      <c r="AB99" s="103"/>
    </row>
    <row r="100" spans="1:28" ht="19.5" customHeight="1" thickBot="1" x14ac:dyDescent="0.25">
      <c r="A100" s="2813"/>
      <c r="B100" s="2537"/>
      <c r="C100" s="2526"/>
      <c r="D100" s="2814"/>
      <c r="E100" s="2816"/>
      <c r="F100" s="2817" t="s">
        <v>35</v>
      </c>
      <c r="G100" s="2818"/>
      <c r="H100" s="2819"/>
      <c r="I100" s="660">
        <f t="shared" ref="I100:I102" si="82">SUM(J100,L100)</f>
        <v>35.800000000000004</v>
      </c>
      <c r="J100" s="664">
        <f>SUM(J99:J99)</f>
        <v>32.700000000000003</v>
      </c>
      <c r="K100" s="664">
        <f>SUM(K99:K99)</f>
        <v>26.7</v>
      </c>
      <c r="L100" s="662">
        <f>SUM(L99:L99)</f>
        <v>3.1</v>
      </c>
      <c r="M100" s="660">
        <f t="shared" ref="M100" si="83">SUM(N100,P100)</f>
        <v>46.2</v>
      </c>
      <c r="N100" s="664">
        <f>SUM(N99:N99)</f>
        <v>43.2</v>
      </c>
      <c r="O100" s="664">
        <f>SUM(O99:O99)</f>
        <v>33.6</v>
      </c>
      <c r="P100" s="662">
        <f>SUM(P99:P99)</f>
        <v>3</v>
      </c>
      <c r="Q100" s="764">
        <f t="shared" ref="Q100" si="84">SUM(R100,T100)</f>
        <v>43.4</v>
      </c>
      <c r="R100" s="664">
        <f>SUM(R99:R99)</f>
        <v>43.4</v>
      </c>
      <c r="S100" s="664">
        <f>SUM(S99:S99)</f>
        <v>34</v>
      </c>
      <c r="T100" s="662">
        <f>SUM(T99:T99)</f>
        <v>0</v>
      </c>
      <c r="U100" s="764">
        <f t="shared" ref="U100:U102" si="85">SUM(V100,X100)</f>
        <v>43.4</v>
      </c>
      <c r="V100" s="664">
        <f>SUM(V99:V99)</f>
        <v>43.4</v>
      </c>
      <c r="W100" s="664">
        <f>SUM(W99:W99)</f>
        <v>34</v>
      </c>
      <c r="X100" s="662">
        <f>SUM(X99:X99)</f>
        <v>0</v>
      </c>
      <c r="Y100" s="103"/>
      <c r="Z100" s="103"/>
      <c r="AA100" s="103"/>
      <c r="AB100" s="103"/>
    </row>
    <row r="101" spans="1:28" ht="19.5" customHeight="1" thickBot="1" x14ac:dyDescent="0.25">
      <c r="A101" s="2813">
        <v>2</v>
      </c>
      <c r="B101" s="2537">
        <v>4</v>
      </c>
      <c r="C101" s="2526">
        <v>7</v>
      </c>
      <c r="D101" s="2814" t="s">
        <v>396</v>
      </c>
      <c r="E101" s="2816">
        <v>25</v>
      </c>
      <c r="F101" s="2137" t="s">
        <v>342</v>
      </c>
      <c r="G101" s="2137" t="s">
        <v>397</v>
      </c>
      <c r="H101" s="770" t="s">
        <v>30</v>
      </c>
      <c r="I101" s="87">
        <f t="shared" si="82"/>
        <v>94.7</v>
      </c>
      <c r="J101" s="413">
        <v>88.8</v>
      </c>
      <c r="K101" s="2081">
        <v>57.8</v>
      </c>
      <c r="L101" s="56">
        <v>5.9</v>
      </c>
      <c r="M101" s="87">
        <f>P101+N101</f>
        <v>123.39999999999999</v>
      </c>
      <c r="N101" s="1549">
        <f>115.3+8.1</f>
        <v>123.39999999999999</v>
      </c>
      <c r="O101" s="2081">
        <v>79</v>
      </c>
      <c r="P101" s="56">
        <v>0</v>
      </c>
      <c r="Q101" s="658">
        <f>T101+R101</f>
        <v>120.5</v>
      </c>
      <c r="R101" s="413">
        <v>120.5</v>
      </c>
      <c r="S101" s="2081">
        <v>79</v>
      </c>
      <c r="T101" s="657">
        <v>0</v>
      </c>
      <c r="U101" s="658">
        <v>120.5</v>
      </c>
      <c r="V101" s="413">
        <v>120.5</v>
      </c>
      <c r="W101" s="2081">
        <v>79</v>
      </c>
      <c r="X101" s="657">
        <v>0</v>
      </c>
      <c r="Y101" s="103"/>
      <c r="Z101" s="103"/>
      <c r="AA101" s="103"/>
      <c r="AB101" s="103"/>
    </row>
    <row r="102" spans="1:28" ht="19.5" customHeight="1" thickBot="1" x14ac:dyDescent="0.25">
      <c r="A102" s="2813"/>
      <c r="B102" s="2537"/>
      <c r="C102" s="2526"/>
      <c r="D102" s="2814"/>
      <c r="E102" s="2816"/>
      <c r="F102" s="2817" t="s">
        <v>35</v>
      </c>
      <c r="G102" s="2818"/>
      <c r="H102" s="2819"/>
      <c r="I102" s="660">
        <f t="shared" si="82"/>
        <v>94.7</v>
      </c>
      <c r="J102" s="664">
        <f>SUM(J101:J101)</f>
        <v>88.8</v>
      </c>
      <c r="K102" s="664">
        <f>SUM(K101:K101)</f>
        <v>57.8</v>
      </c>
      <c r="L102" s="662">
        <f>SUM(L101:L101)</f>
        <v>5.9</v>
      </c>
      <c r="M102" s="660">
        <f t="shared" ref="M102" si="86">SUM(N102,P102)</f>
        <v>123.39999999999999</v>
      </c>
      <c r="N102" s="664">
        <f>SUM(N101:N101)</f>
        <v>123.39999999999999</v>
      </c>
      <c r="O102" s="664">
        <f>SUM(O101:O101)</f>
        <v>79</v>
      </c>
      <c r="P102" s="662">
        <f>SUM(P101:P101)</f>
        <v>0</v>
      </c>
      <c r="Q102" s="764">
        <f t="shared" ref="Q102" si="87">SUM(R102,T102)</f>
        <v>120.5</v>
      </c>
      <c r="R102" s="664">
        <f>SUM(R101:R101)</f>
        <v>120.5</v>
      </c>
      <c r="S102" s="664">
        <f>SUM(S101:S101)</f>
        <v>79</v>
      </c>
      <c r="T102" s="662">
        <f>SUM(T101:T101)</f>
        <v>0</v>
      </c>
      <c r="U102" s="764">
        <f t="shared" si="85"/>
        <v>120.5</v>
      </c>
      <c r="V102" s="664">
        <f>SUM(V101:V101)</f>
        <v>120.5</v>
      </c>
      <c r="W102" s="664">
        <f>SUM(W101:W101)</f>
        <v>79</v>
      </c>
      <c r="X102" s="662">
        <f>SUM(X101:X101)</f>
        <v>0</v>
      </c>
      <c r="Y102" s="103"/>
      <c r="Z102" s="103"/>
      <c r="AA102" s="103"/>
      <c r="AB102" s="103"/>
    </row>
    <row r="103" spans="1:28" ht="14.25" customHeight="1" x14ac:dyDescent="0.2">
      <c r="A103" s="2813">
        <v>2</v>
      </c>
      <c r="B103" s="2537">
        <v>4</v>
      </c>
      <c r="C103" s="2526">
        <v>8</v>
      </c>
      <c r="D103" s="2814" t="s">
        <v>398</v>
      </c>
      <c r="E103" s="2816">
        <v>26</v>
      </c>
      <c r="F103" s="2820" t="s">
        <v>342</v>
      </c>
      <c r="G103" s="2820" t="s">
        <v>399</v>
      </c>
      <c r="H103" s="770" t="s">
        <v>30</v>
      </c>
      <c r="I103" s="348">
        <f>J103+L103</f>
        <v>153.30000000000001</v>
      </c>
      <c r="J103" s="2082">
        <v>153.30000000000001</v>
      </c>
      <c r="K103" s="2081">
        <v>104.4</v>
      </c>
      <c r="L103" s="56">
        <v>0</v>
      </c>
      <c r="M103" s="348">
        <f>N103+P103</f>
        <v>217.3</v>
      </c>
      <c r="N103" s="1549">
        <f>200.3+8.1</f>
        <v>208.4</v>
      </c>
      <c r="O103" s="2081">
        <v>134.4</v>
      </c>
      <c r="P103" s="56">
        <v>8.9</v>
      </c>
      <c r="Q103" s="746">
        <f>R103+T103</f>
        <v>210.3</v>
      </c>
      <c r="R103" s="2082">
        <v>210.3</v>
      </c>
      <c r="S103" s="2081">
        <v>135</v>
      </c>
      <c r="T103" s="748">
        <v>0</v>
      </c>
      <c r="U103" s="746">
        <v>200.3</v>
      </c>
      <c r="V103" s="2082">
        <v>200.3</v>
      </c>
      <c r="W103" s="2081">
        <v>135</v>
      </c>
      <c r="X103" s="748">
        <v>0</v>
      </c>
      <c r="Y103" s="103"/>
      <c r="Z103" s="103"/>
      <c r="AA103" s="103"/>
      <c r="AB103" s="103"/>
    </row>
    <row r="104" spans="1:28" ht="15.75" customHeight="1" thickBot="1" x14ac:dyDescent="0.25">
      <c r="A104" s="2813"/>
      <c r="B104" s="2537"/>
      <c r="C104" s="2526"/>
      <c r="D104" s="2814"/>
      <c r="E104" s="2816"/>
      <c r="F104" s="2493"/>
      <c r="G104" s="2493"/>
      <c r="H104" s="772" t="s">
        <v>34</v>
      </c>
      <c r="I104" s="389">
        <f>SUM(J104,L104)</f>
        <v>6</v>
      </c>
      <c r="J104" s="726">
        <v>6</v>
      </c>
      <c r="K104" s="70"/>
      <c r="L104" s="71">
        <v>0</v>
      </c>
      <c r="M104" s="389">
        <f>SUM(N104,P104)</f>
        <v>10</v>
      </c>
      <c r="N104" s="726">
        <v>10</v>
      </c>
      <c r="O104" s="70"/>
      <c r="P104" s="71">
        <v>0</v>
      </c>
      <c r="Q104" s="761">
        <f>SUM(R104,T104)</f>
        <v>10</v>
      </c>
      <c r="R104" s="726">
        <v>10</v>
      </c>
      <c r="S104" s="70"/>
      <c r="T104" s="763">
        <v>0</v>
      </c>
      <c r="U104" s="761">
        <v>10</v>
      </c>
      <c r="V104" s="726">
        <v>10</v>
      </c>
      <c r="W104" s="70"/>
      <c r="X104" s="763">
        <v>0</v>
      </c>
    </row>
    <row r="105" spans="1:28" ht="15.75" customHeight="1" thickBot="1" x14ac:dyDescent="0.25">
      <c r="A105" s="2813"/>
      <c r="B105" s="2537"/>
      <c r="C105" s="2526"/>
      <c r="D105" s="2814"/>
      <c r="E105" s="2816"/>
      <c r="F105" s="2817" t="s">
        <v>35</v>
      </c>
      <c r="G105" s="2818"/>
      <c r="H105" s="2819"/>
      <c r="I105" s="660">
        <f t="shared" ref="I105" si="88">SUM(J105,L105)</f>
        <v>159.30000000000001</v>
      </c>
      <c r="J105" s="664">
        <f>SUM(J103:J104)</f>
        <v>159.30000000000001</v>
      </c>
      <c r="K105" s="664">
        <f>SUM(K103:K104)</f>
        <v>104.4</v>
      </c>
      <c r="L105" s="662">
        <f>SUM(L103:L104)</f>
        <v>0</v>
      </c>
      <c r="M105" s="660">
        <f t="shared" ref="M105" si="89">SUM(N105,P105)</f>
        <v>227.3</v>
      </c>
      <c r="N105" s="664">
        <f>SUM(N103:N104)</f>
        <v>218.4</v>
      </c>
      <c r="O105" s="664">
        <f>SUM(O103:O104)</f>
        <v>134.4</v>
      </c>
      <c r="P105" s="662">
        <f>SUM(P103:P104)</f>
        <v>8.9</v>
      </c>
      <c r="Q105" s="764">
        <f t="shared" ref="Q105" si="90">SUM(R105,T105)</f>
        <v>220.3</v>
      </c>
      <c r="R105" s="664">
        <f>SUM(R103:R104)</f>
        <v>220.3</v>
      </c>
      <c r="S105" s="664">
        <f>SUM(S103:S104)</f>
        <v>135</v>
      </c>
      <c r="T105" s="662">
        <f>SUM(T103:T104)</f>
        <v>0</v>
      </c>
      <c r="U105" s="764">
        <f t="shared" ref="U105" si="91">SUM(V105,X105)</f>
        <v>210.3</v>
      </c>
      <c r="V105" s="664">
        <f>SUM(V103:V104)</f>
        <v>210.3</v>
      </c>
      <c r="W105" s="664">
        <f>SUM(W103:W104)</f>
        <v>135</v>
      </c>
      <c r="X105" s="662">
        <f>SUM(X103:X104)</f>
        <v>0</v>
      </c>
    </row>
    <row r="106" spans="1:28" ht="18" customHeight="1" thickBot="1" x14ac:dyDescent="0.25">
      <c r="A106" s="2813">
        <v>2</v>
      </c>
      <c r="B106" s="2537">
        <v>4</v>
      </c>
      <c r="C106" s="2526">
        <v>9</v>
      </c>
      <c r="D106" s="2814" t="s">
        <v>400</v>
      </c>
      <c r="E106" s="2816">
        <v>27</v>
      </c>
      <c r="F106" s="2137" t="s">
        <v>342</v>
      </c>
      <c r="G106" s="2137" t="s">
        <v>401</v>
      </c>
      <c r="H106" s="770" t="s">
        <v>30</v>
      </c>
      <c r="I106" s="348">
        <f>J106+L106</f>
        <v>66.099999999999994</v>
      </c>
      <c r="J106" s="2082">
        <v>55.9</v>
      </c>
      <c r="K106" s="2081">
        <v>15.6</v>
      </c>
      <c r="L106" s="2083">
        <v>10.199999999999999</v>
      </c>
      <c r="M106" s="348">
        <f>N106+P106</f>
        <v>74.2</v>
      </c>
      <c r="N106" s="2082">
        <v>73.2</v>
      </c>
      <c r="O106" s="2081">
        <v>27.2</v>
      </c>
      <c r="P106" s="2083">
        <v>1</v>
      </c>
      <c r="Q106" s="429">
        <f>R106+T106</f>
        <v>67.8</v>
      </c>
      <c r="R106" s="2082">
        <v>67.8</v>
      </c>
      <c r="S106" s="2081">
        <v>22</v>
      </c>
      <c r="T106" s="383"/>
      <c r="U106" s="429">
        <v>73.3</v>
      </c>
      <c r="V106" s="2082">
        <v>73.3</v>
      </c>
      <c r="W106" s="2081">
        <v>27.5</v>
      </c>
      <c r="X106" s="383"/>
    </row>
    <row r="107" spans="1:28" ht="17.25" customHeight="1" thickBot="1" x14ac:dyDescent="0.25">
      <c r="A107" s="2813"/>
      <c r="B107" s="2537"/>
      <c r="C107" s="2526"/>
      <c r="D107" s="2814"/>
      <c r="E107" s="2816"/>
      <c r="F107" s="2810" t="s">
        <v>35</v>
      </c>
      <c r="G107" s="2811"/>
      <c r="H107" s="2812"/>
      <c r="I107" s="660">
        <f t="shared" ref="I107" si="92">SUM(J107,L107)</f>
        <v>66.099999999999994</v>
      </c>
      <c r="J107" s="664">
        <f>SUM(J106:J106)</f>
        <v>55.9</v>
      </c>
      <c r="K107" s="664">
        <f>SUM(K106:K106)</f>
        <v>15.6</v>
      </c>
      <c r="L107" s="662">
        <f>L106</f>
        <v>10.199999999999999</v>
      </c>
      <c r="M107" s="660">
        <f t="shared" ref="M107" si="93">SUM(N107,P107)</f>
        <v>74.2</v>
      </c>
      <c r="N107" s="664">
        <f>SUM(N106:N106)</f>
        <v>73.2</v>
      </c>
      <c r="O107" s="664">
        <f>SUM(O106:O106)</f>
        <v>27.2</v>
      </c>
      <c r="P107" s="662">
        <v>1</v>
      </c>
      <c r="Q107" s="764">
        <f t="shared" ref="Q107" si="94">SUM(R107,T107)</f>
        <v>67.8</v>
      </c>
      <c r="R107" s="664">
        <f>SUM(R106:R106)</f>
        <v>67.8</v>
      </c>
      <c r="S107" s="664">
        <f>SUM(S106:S106)</f>
        <v>22</v>
      </c>
      <c r="T107" s="662"/>
      <c r="U107" s="764">
        <f t="shared" ref="U107" si="95">SUM(V107,X107)</f>
        <v>73.3</v>
      </c>
      <c r="V107" s="664">
        <f>SUM(V106:V106)</f>
        <v>73.3</v>
      </c>
      <c r="W107" s="664">
        <f>SUM(W106:W106)</f>
        <v>27.5</v>
      </c>
      <c r="X107" s="662"/>
    </row>
    <row r="108" spans="1:28" ht="21.75" customHeight="1" thickBot="1" x14ac:dyDescent="0.25">
      <c r="A108" s="2813">
        <v>2</v>
      </c>
      <c r="B108" s="2537">
        <v>4</v>
      </c>
      <c r="C108" s="2526">
        <v>10</v>
      </c>
      <c r="D108" s="2814" t="s">
        <v>402</v>
      </c>
      <c r="E108" s="2816">
        <v>28</v>
      </c>
      <c r="F108" s="2137" t="s">
        <v>342</v>
      </c>
      <c r="G108" s="2137" t="s">
        <v>403</v>
      </c>
      <c r="H108" s="770" t="s">
        <v>30</v>
      </c>
      <c r="I108" s="348">
        <f>J108+L108</f>
        <v>88.2</v>
      </c>
      <c r="J108" s="2082">
        <v>77.7</v>
      </c>
      <c r="K108" s="2081">
        <v>42.5</v>
      </c>
      <c r="L108" s="56">
        <f>5+5.5</f>
        <v>10.5</v>
      </c>
      <c r="M108" s="348">
        <f>N108+P108</f>
        <v>106.99999999999999</v>
      </c>
      <c r="N108" s="1549">
        <f>96.3+8.1</f>
        <v>104.39999999999999</v>
      </c>
      <c r="O108" s="2081">
        <v>51.1</v>
      </c>
      <c r="P108" s="56">
        <v>2.6</v>
      </c>
      <c r="Q108" s="658">
        <f>R108+T108</f>
        <v>90.9</v>
      </c>
      <c r="R108" s="2082">
        <v>90.9</v>
      </c>
      <c r="S108" s="2081">
        <v>51.2</v>
      </c>
      <c r="T108" s="657"/>
      <c r="U108" s="658">
        <v>90</v>
      </c>
      <c r="V108" s="2082">
        <v>90</v>
      </c>
      <c r="W108" s="2081">
        <v>51.2</v>
      </c>
      <c r="X108" s="657"/>
    </row>
    <row r="109" spans="1:28" ht="17.25" customHeight="1" thickBot="1" x14ac:dyDescent="0.25">
      <c r="A109" s="2813"/>
      <c r="B109" s="2537"/>
      <c r="C109" s="2526"/>
      <c r="D109" s="2814"/>
      <c r="E109" s="2816"/>
      <c r="F109" s="2817" t="s">
        <v>35</v>
      </c>
      <c r="G109" s="2818"/>
      <c r="H109" s="2819"/>
      <c r="I109" s="660">
        <f t="shared" ref="I109" si="96">SUM(J109,L109)</f>
        <v>88.2</v>
      </c>
      <c r="J109" s="664">
        <f>SUM(J108:J108)</f>
        <v>77.7</v>
      </c>
      <c r="K109" s="664">
        <f>SUM(K108:K108)</f>
        <v>42.5</v>
      </c>
      <c r="L109" s="662">
        <f>L108</f>
        <v>10.5</v>
      </c>
      <c r="M109" s="660">
        <f t="shared" ref="M109:M111" si="97">SUM(N109,P109)</f>
        <v>106.99999999999999</v>
      </c>
      <c r="N109" s="664">
        <f>SUM(N108:N108)</f>
        <v>104.39999999999999</v>
      </c>
      <c r="O109" s="664">
        <f>SUM(O108:O108)</f>
        <v>51.1</v>
      </c>
      <c r="P109" s="662">
        <v>2.6</v>
      </c>
      <c r="Q109" s="764">
        <f t="shared" ref="Q109" si="98">SUM(R109,T109)</f>
        <v>90.9</v>
      </c>
      <c r="R109" s="664">
        <f>SUM(R108:R108)</f>
        <v>90.9</v>
      </c>
      <c r="S109" s="664">
        <f>SUM(S108:S108)</f>
        <v>51.2</v>
      </c>
      <c r="T109" s="662"/>
      <c r="U109" s="764">
        <f t="shared" ref="U109" si="99">SUM(V109,X109)</f>
        <v>90</v>
      </c>
      <c r="V109" s="664">
        <f>SUM(V108:V108)</f>
        <v>90</v>
      </c>
      <c r="W109" s="664">
        <f>SUM(W108:W108)</f>
        <v>51.2</v>
      </c>
      <c r="X109" s="662"/>
    </row>
    <row r="110" spans="1:28" ht="25.5" customHeight="1" thickBot="1" x14ac:dyDescent="0.25">
      <c r="A110" s="2813">
        <v>2</v>
      </c>
      <c r="B110" s="2537">
        <v>4</v>
      </c>
      <c r="C110" s="2526">
        <v>11</v>
      </c>
      <c r="D110" s="2814" t="s">
        <v>404</v>
      </c>
      <c r="E110" s="2816">
        <v>29</v>
      </c>
      <c r="F110" s="2137" t="s">
        <v>342</v>
      </c>
      <c r="G110" s="2137" t="s">
        <v>405</v>
      </c>
      <c r="H110" s="770" t="s">
        <v>30</v>
      </c>
      <c r="I110" s="381">
        <f>J110+L110</f>
        <v>77.600000000000009</v>
      </c>
      <c r="J110" s="413">
        <v>69.400000000000006</v>
      </c>
      <c r="K110" s="598">
        <v>25.5</v>
      </c>
      <c r="L110" s="56">
        <v>8.1999999999999993</v>
      </c>
      <c r="M110" s="381">
        <f>N110+P110</f>
        <v>84.299999999999983</v>
      </c>
      <c r="N110" s="1549">
        <f>70.6+8.1</f>
        <v>78.699999999999989</v>
      </c>
      <c r="O110" s="598">
        <v>31.5</v>
      </c>
      <c r="P110" s="56">
        <v>5.6</v>
      </c>
      <c r="Q110" s="658">
        <f>R110+T110</f>
        <v>70</v>
      </c>
      <c r="R110" s="413">
        <v>70</v>
      </c>
      <c r="S110" s="598">
        <v>31.5</v>
      </c>
      <c r="T110" s="657"/>
      <c r="U110" s="665">
        <v>70</v>
      </c>
      <c r="V110" s="413">
        <v>70</v>
      </c>
      <c r="W110" s="598">
        <v>31.5</v>
      </c>
      <c r="X110" s="657"/>
    </row>
    <row r="111" spans="1:28" ht="15.75" customHeight="1" thickBot="1" x14ac:dyDescent="0.25">
      <c r="A111" s="2813"/>
      <c r="B111" s="2537"/>
      <c r="C111" s="2526"/>
      <c r="D111" s="2814"/>
      <c r="E111" s="2816"/>
      <c r="F111" s="2810" t="s">
        <v>35</v>
      </c>
      <c r="G111" s="2811"/>
      <c r="H111" s="2812"/>
      <c r="I111" s="660">
        <f>SUM(J111,L111)</f>
        <v>77.600000000000009</v>
      </c>
      <c r="J111" s="664">
        <f>SUM(J110:J110)</f>
        <v>69.400000000000006</v>
      </c>
      <c r="K111" s="664">
        <f>SUM(K110:K110)</f>
        <v>25.5</v>
      </c>
      <c r="L111" s="662">
        <f>L110</f>
        <v>8.1999999999999993</v>
      </c>
      <c r="M111" s="660">
        <f t="shared" si="97"/>
        <v>84.299999999999983</v>
      </c>
      <c r="N111" s="664">
        <f>SUM(N110:N110)</f>
        <v>78.699999999999989</v>
      </c>
      <c r="O111" s="664">
        <f>SUM(O110:O110)</f>
        <v>31.5</v>
      </c>
      <c r="P111" s="662">
        <v>5.6</v>
      </c>
      <c r="Q111" s="764">
        <f t="shared" ref="Q111" si="100">SUM(R111,T111)</f>
        <v>70</v>
      </c>
      <c r="R111" s="664">
        <f>SUM(R110:R110)</f>
        <v>70</v>
      </c>
      <c r="S111" s="664">
        <f>SUM(S110:S110)</f>
        <v>31.5</v>
      </c>
      <c r="T111" s="662"/>
      <c r="U111" s="693">
        <f t="shared" ref="U111" si="101">SUM(V111,X111)</f>
        <v>70</v>
      </c>
      <c r="V111" s="686">
        <f>SUM(V110:V110)</f>
        <v>70</v>
      </c>
      <c r="W111" s="686">
        <f>SUM(W110:W110)</f>
        <v>31.5</v>
      </c>
      <c r="X111" s="662"/>
    </row>
    <row r="112" spans="1:28" ht="21.75" customHeight="1" thickBot="1" x14ac:dyDescent="0.25">
      <c r="A112" s="2813">
        <v>2</v>
      </c>
      <c r="B112" s="2537">
        <v>4</v>
      </c>
      <c r="C112" s="2526">
        <v>12</v>
      </c>
      <c r="D112" s="2814" t="s">
        <v>406</v>
      </c>
      <c r="E112" s="2815" t="s">
        <v>365</v>
      </c>
      <c r="F112" s="2137" t="s">
        <v>342</v>
      </c>
      <c r="G112" s="2137" t="s">
        <v>407</v>
      </c>
      <c r="H112" s="770" t="s">
        <v>30</v>
      </c>
      <c r="I112" s="2122">
        <v>10</v>
      </c>
      <c r="J112" s="2082"/>
      <c r="K112" s="2081"/>
      <c r="L112" s="56">
        <v>10</v>
      </c>
      <c r="M112" s="2122">
        <v>10</v>
      </c>
      <c r="N112" s="2082"/>
      <c r="O112" s="2081"/>
      <c r="P112" s="56">
        <v>10</v>
      </c>
      <c r="Q112" s="658">
        <v>10</v>
      </c>
      <c r="R112" s="659"/>
      <c r="S112" s="659"/>
      <c r="T112" s="657">
        <v>10</v>
      </c>
      <c r="U112" s="658"/>
      <c r="V112" s="659"/>
      <c r="W112" s="659"/>
      <c r="X112" s="657"/>
    </row>
    <row r="113" spans="1:28" ht="33" customHeight="1" thickBot="1" x14ac:dyDescent="0.25">
      <c r="A113" s="2813"/>
      <c r="B113" s="2537"/>
      <c r="C113" s="2526"/>
      <c r="D113" s="2814"/>
      <c r="E113" s="2815"/>
      <c r="F113" s="2810" t="s">
        <v>35</v>
      </c>
      <c r="G113" s="2811"/>
      <c r="H113" s="2812"/>
      <c r="I113" s="660">
        <f t="shared" ref="I113" si="102">SUM(J113,L113)</f>
        <v>10</v>
      </c>
      <c r="J113" s="664">
        <f>SUM(J112:J112)</f>
        <v>0</v>
      </c>
      <c r="K113" s="664">
        <f>SUM(K112:K112)</f>
        <v>0</v>
      </c>
      <c r="L113" s="662">
        <f>SUM(L112:L112)</f>
        <v>10</v>
      </c>
      <c r="M113" s="660">
        <f t="shared" ref="M113" si="103">SUM(N113,P113)</f>
        <v>10</v>
      </c>
      <c r="N113" s="664">
        <f>SUM(N112:N112)</f>
        <v>0</v>
      </c>
      <c r="O113" s="664">
        <f>SUM(O112:O112)</f>
        <v>0</v>
      </c>
      <c r="P113" s="662">
        <f>SUM(P112:P112)</f>
        <v>10</v>
      </c>
      <c r="Q113" s="764">
        <v>10</v>
      </c>
      <c r="R113" s="664"/>
      <c r="S113" s="664"/>
      <c r="T113" s="662">
        <v>10</v>
      </c>
      <c r="U113" s="764"/>
      <c r="V113" s="664"/>
      <c r="W113" s="664"/>
      <c r="X113" s="662"/>
    </row>
    <row r="114" spans="1:28" ht="20.25" customHeight="1" x14ac:dyDescent="0.2">
      <c r="A114" s="2792">
        <v>2</v>
      </c>
      <c r="B114" s="2489">
        <v>4</v>
      </c>
      <c r="C114" s="2492">
        <v>13</v>
      </c>
      <c r="D114" s="2804" t="s">
        <v>408</v>
      </c>
      <c r="E114" s="2120" t="s">
        <v>353</v>
      </c>
      <c r="F114" s="2531" t="s">
        <v>342</v>
      </c>
      <c r="G114" s="2806" t="s">
        <v>409</v>
      </c>
      <c r="H114" s="684" t="s">
        <v>111</v>
      </c>
      <c r="I114" s="1304"/>
      <c r="J114" s="718"/>
      <c r="K114" s="718"/>
      <c r="L114" s="719"/>
      <c r="M114" s="746"/>
      <c r="N114" s="747"/>
      <c r="O114" s="747"/>
      <c r="P114" s="748"/>
      <c r="Q114" s="755"/>
      <c r="R114" s="70"/>
      <c r="S114" s="70"/>
      <c r="T114" s="71"/>
      <c r="U114" s="755"/>
      <c r="V114" s="70"/>
      <c r="W114" s="70"/>
      <c r="X114" s="71"/>
    </row>
    <row r="115" spans="1:28" ht="20.25" customHeight="1" x14ac:dyDescent="0.2">
      <c r="A115" s="2793"/>
      <c r="B115" s="2490"/>
      <c r="C115" s="2493"/>
      <c r="D115" s="2805"/>
      <c r="E115" s="2809" t="s">
        <v>290</v>
      </c>
      <c r="F115" s="2530"/>
      <c r="G115" s="2807"/>
      <c r="H115" s="774" t="s">
        <v>30</v>
      </c>
      <c r="I115" s="1271">
        <f>J115+L115</f>
        <v>1.4</v>
      </c>
      <c r="J115" s="706">
        <v>0.7</v>
      </c>
      <c r="K115" s="706">
        <v>0.6</v>
      </c>
      <c r="L115" s="724">
        <v>0.7</v>
      </c>
      <c r="M115" s="746">
        <f>N115+P115</f>
        <v>0</v>
      </c>
      <c r="N115" s="747"/>
      <c r="O115" s="747"/>
      <c r="P115" s="748"/>
      <c r="Q115" s="755"/>
      <c r="R115" s="70"/>
      <c r="S115" s="70"/>
      <c r="T115" s="71"/>
      <c r="U115" s="755"/>
      <c r="V115" s="70"/>
      <c r="W115" s="70"/>
      <c r="X115" s="71"/>
    </row>
    <row r="116" spans="1:28" ht="22.5" customHeight="1" x14ac:dyDescent="0.2">
      <c r="A116" s="2793"/>
      <c r="B116" s="2490"/>
      <c r="C116" s="2493"/>
      <c r="D116" s="2805"/>
      <c r="E116" s="2809"/>
      <c r="F116" s="2530"/>
      <c r="G116" s="2807"/>
      <c r="H116" s="774" t="s">
        <v>111</v>
      </c>
      <c r="I116" s="1271">
        <v>158.30000000000001</v>
      </c>
      <c r="J116" s="706">
        <v>4.2</v>
      </c>
      <c r="K116" s="706">
        <v>4.2</v>
      </c>
      <c r="L116" s="724">
        <v>154.1</v>
      </c>
      <c r="M116" s="746"/>
      <c r="N116" s="747"/>
      <c r="O116" s="747"/>
      <c r="P116" s="748"/>
      <c r="Q116" s="755"/>
      <c r="R116" s="70"/>
      <c r="S116" s="70"/>
      <c r="T116" s="71"/>
      <c r="U116" s="755"/>
      <c r="V116" s="70"/>
      <c r="W116" s="70"/>
      <c r="X116" s="71"/>
    </row>
    <row r="117" spans="1:28" ht="22.5" customHeight="1" thickBot="1" x14ac:dyDescent="0.25">
      <c r="A117" s="2793"/>
      <c r="B117" s="2490"/>
      <c r="C117" s="2493"/>
      <c r="D117" s="2805"/>
      <c r="E117" s="2809"/>
      <c r="F117" s="2510"/>
      <c r="G117" s="2808"/>
      <c r="H117" s="775" t="s">
        <v>32</v>
      </c>
      <c r="I117" s="2280">
        <v>73.599999999999994</v>
      </c>
      <c r="J117" s="1377"/>
      <c r="K117" s="1377"/>
      <c r="L117" s="2281">
        <v>73.599999999999994</v>
      </c>
      <c r="M117" s="2242"/>
      <c r="N117" s="659"/>
      <c r="O117" s="659"/>
      <c r="P117" s="657"/>
      <c r="Q117" s="658"/>
      <c r="R117" s="659"/>
      <c r="S117" s="659"/>
      <c r="T117" s="657"/>
      <c r="U117" s="658"/>
      <c r="V117" s="659"/>
      <c r="W117" s="659"/>
      <c r="X117" s="657"/>
    </row>
    <row r="118" spans="1:28" s="103" customFormat="1" ht="21" customHeight="1" thickBot="1" x14ac:dyDescent="0.25">
      <c r="A118" s="2794"/>
      <c r="B118" s="2491"/>
      <c r="C118" s="2494"/>
      <c r="D118" s="2805"/>
      <c r="E118" s="2244"/>
      <c r="F118" s="2777" t="s">
        <v>35</v>
      </c>
      <c r="G118" s="2778"/>
      <c r="H118" s="2779"/>
      <c r="I118" s="91">
        <f>SUM(I114:I117)</f>
        <v>233.3</v>
      </c>
      <c r="J118" s="84">
        <f>J114+J115+J116</f>
        <v>4.9000000000000004</v>
      </c>
      <c r="K118" s="84">
        <f>K114+K115+K116</f>
        <v>4.8</v>
      </c>
      <c r="L118" s="85">
        <f>SUM(L114:L117)</f>
        <v>228.39999999999998</v>
      </c>
      <c r="M118" s="710">
        <f>SUM(M114:M116)</f>
        <v>0</v>
      </c>
      <c r="N118" s="711"/>
      <c r="O118" s="711"/>
      <c r="P118" s="712">
        <f>P114+P115+P116</f>
        <v>0</v>
      </c>
      <c r="Q118" s="776">
        <f>SUM(Q114:Q116)</f>
        <v>0</v>
      </c>
      <c r="R118" s="711"/>
      <c r="S118" s="711"/>
      <c r="T118" s="712">
        <f>T114+T115+T116</f>
        <v>0</v>
      </c>
      <c r="U118" s="776">
        <f>SUM(U114:U116)</f>
        <v>0</v>
      </c>
      <c r="V118" s="711"/>
      <c r="W118" s="711"/>
      <c r="X118" s="712">
        <f>X114+X115+X116</f>
        <v>0</v>
      </c>
    </row>
    <row r="119" spans="1:28" ht="26.25" customHeight="1" x14ac:dyDescent="0.2">
      <c r="A119" s="2792">
        <v>2</v>
      </c>
      <c r="B119" s="2795">
        <v>4</v>
      </c>
      <c r="C119" s="2510">
        <v>14</v>
      </c>
      <c r="D119" s="2798" t="s">
        <v>410</v>
      </c>
      <c r="E119" s="2801" t="s">
        <v>114</v>
      </c>
      <c r="F119" s="2493" t="s">
        <v>342</v>
      </c>
      <c r="G119" s="2776" t="s">
        <v>411</v>
      </c>
      <c r="H119" s="497" t="s">
        <v>32</v>
      </c>
      <c r="I119" s="348">
        <f>J119+L119</f>
        <v>0</v>
      </c>
      <c r="J119" s="2082"/>
      <c r="K119" s="2081"/>
      <c r="L119" s="56">
        <f>260-260</f>
        <v>0</v>
      </c>
      <c r="M119" s="389">
        <f>N119+P119</f>
        <v>0</v>
      </c>
      <c r="N119" s="413"/>
      <c r="O119" s="598"/>
      <c r="P119" s="1939"/>
      <c r="Q119" s="721">
        <f>R119+T119</f>
        <v>0</v>
      </c>
      <c r="R119" s="706"/>
      <c r="S119" s="706"/>
      <c r="T119" s="748">
        <v>0</v>
      </c>
      <c r="U119" s="721">
        <f>V119+X119</f>
        <v>0</v>
      </c>
      <c r="V119" s="706"/>
      <c r="W119" s="706"/>
      <c r="X119" s="748">
        <v>0</v>
      </c>
      <c r="Y119" s="103"/>
      <c r="Z119" s="103"/>
      <c r="AA119" s="103"/>
      <c r="AB119" s="103"/>
    </row>
    <row r="120" spans="1:28" ht="26.25" customHeight="1" x14ac:dyDescent="0.2">
      <c r="A120" s="2793"/>
      <c r="B120" s="2796"/>
      <c r="C120" s="2513"/>
      <c r="D120" s="2799"/>
      <c r="E120" s="2802"/>
      <c r="F120" s="2493"/>
      <c r="G120" s="2776"/>
      <c r="H120" s="402" t="s">
        <v>412</v>
      </c>
      <c r="I120" s="348"/>
      <c r="J120" s="349"/>
      <c r="K120" s="408"/>
      <c r="L120" s="748"/>
      <c r="M120" s="389">
        <f>N120+P120</f>
        <v>336.9</v>
      </c>
      <c r="N120" s="377"/>
      <c r="O120" s="434"/>
      <c r="P120" s="2282">
        <v>336.9</v>
      </c>
      <c r="Q120" s="2276"/>
      <c r="R120" s="731"/>
      <c r="S120" s="731"/>
      <c r="T120" s="657"/>
      <c r="U120" s="2276"/>
      <c r="V120" s="731"/>
      <c r="W120" s="731"/>
      <c r="X120" s="657"/>
      <c r="Y120" s="103"/>
      <c r="Z120" s="103"/>
      <c r="AA120" s="103"/>
      <c r="AB120" s="103"/>
    </row>
    <row r="121" spans="1:28" ht="15.75" customHeight="1" thickBot="1" x14ac:dyDescent="0.25">
      <c r="A121" s="2793"/>
      <c r="B121" s="2796"/>
      <c r="C121" s="2513"/>
      <c r="D121" s="2799"/>
      <c r="E121" s="2803"/>
      <c r="F121" s="2493"/>
      <c r="G121" s="2776"/>
      <c r="H121" s="2283" t="s">
        <v>30</v>
      </c>
      <c r="I121" s="348">
        <f>SUM(J121,L121)</f>
        <v>0.5</v>
      </c>
      <c r="J121" s="70">
        <v>0.5</v>
      </c>
      <c r="K121" s="70"/>
      <c r="L121" s="71">
        <v>0</v>
      </c>
      <c r="M121" s="389">
        <f>N121+P121</f>
        <v>713.1</v>
      </c>
      <c r="N121" s="726">
        <v>250</v>
      </c>
      <c r="O121" s="726"/>
      <c r="P121" s="2284">
        <v>463.1</v>
      </c>
      <c r="Q121" s="733"/>
      <c r="R121" s="734"/>
      <c r="S121" s="734"/>
      <c r="T121" s="763">
        <v>0</v>
      </c>
      <c r="U121" s="733"/>
      <c r="V121" s="734"/>
      <c r="W121" s="734"/>
      <c r="X121" s="763">
        <v>0</v>
      </c>
    </row>
    <row r="122" spans="1:28" s="103" customFormat="1" ht="21" customHeight="1" thickBot="1" x14ac:dyDescent="0.25">
      <c r="A122" s="2793"/>
      <c r="B122" s="2796"/>
      <c r="C122" s="2502"/>
      <c r="D122" s="2800"/>
      <c r="E122" s="777"/>
      <c r="F122" s="2777" t="s">
        <v>35</v>
      </c>
      <c r="G122" s="2778"/>
      <c r="H122" s="2779"/>
      <c r="I122" s="710">
        <f>L122+J122</f>
        <v>0.5</v>
      </c>
      <c r="J122" s="711">
        <f>J119+J121</f>
        <v>0.5</v>
      </c>
      <c r="K122" s="711">
        <f t="shared" ref="K122:L122" si="104">K119+K121</f>
        <v>0</v>
      </c>
      <c r="L122" s="711">
        <f t="shared" si="104"/>
        <v>0</v>
      </c>
      <c r="M122" s="710">
        <f>P122+N122</f>
        <v>1050</v>
      </c>
      <c r="N122" s="711">
        <f>N119+N121</f>
        <v>250</v>
      </c>
      <c r="O122" s="711">
        <f t="shared" ref="O122" si="105">O119+O121</f>
        <v>0</v>
      </c>
      <c r="P122" s="711">
        <f>P119+P120+P121</f>
        <v>800</v>
      </c>
      <c r="Q122" s="710">
        <f>T122+R122</f>
        <v>0</v>
      </c>
      <c r="R122" s="711">
        <f>R119+R121</f>
        <v>0</v>
      </c>
      <c r="S122" s="711">
        <f t="shared" ref="S122:T122" si="106">S119+S121</f>
        <v>0</v>
      </c>
      <c r="T122" s="711">
        <f t="shared" si="106"/>
        <v>0</v>
      </c>
      <c r="U122" s="710">
        <f>X122+V122</f>
        <v>0</v>
      </c>
      <c r="V122" s="711">
        <f>V119+V121</f>
        <v>0</v>
      </c>
      <c r="W122" s="711">
        <f t="shared" ref="W122:X122" si="107">W119+W121</f>
        <v>0</v>
      </c>
      <c r="X122" s="712">
        <f t="shared" si="107"/>
        <v>0</v>
      </c>
    </row>
    <row r="123" spans="1:28" s="103" customFormat="1" ht="12.75" customHeight="1" thickBot="1" x14ac:dyDescent="0.25">
      <c r="A123" s="2794"/>
      <c r="B123" s="2797"/>
      <c r="C123" s="2780" t="s">
        <v>234</v>
      </c>
      <c r="D123" s="2781"/>
      <c r="E123" s="2781"/>
      <c r="F123" s="2781"/>
      <c r="G123" s="2781"/>
      <c r="H123" s="2782"/>
      <c r="I123" s="778">
        <f>J123+L123</f>
        <v>1412.1</v>
      </c>
      <c r="J123" s="779">
        <f>J118+J113+J111+J109+J107+J105+J102+J100+J98+J96+J94+J92+J90+J122</f>
        <v>1103.5</v>
      </c>
      <c r="K123" s="779">
        <f>K118+K113+K111+K109+K107+K105+K102+K100+K98+K96+K94+K92+K90+K122</f>
        <v>689.69999999999993</v>
      </c>
      <c r="L123" s="779">
        <f>L118+L113+L111+L109+L107+L105+L102+L100+L98+L96+L94+L92+L90+L122</f>
        <v>308.59999999999991</v>
      </c>
      <c r="M123" s="779">
        <f>N123+P123</f>
        <v>2562.1999999999998</v>
      </c>
      <c r="N123" s="779">
        <f>N118+N113+N111+N109+N107+N105+N102+N100+N98+N96+N94+N92+N90+N122</f>
        <v>1689.1</v>
      </c>
      <c r="O123" s="779">
        <f>O118+O113+O111+O109+O107+O105+O102+O100+O98+O96+O94+O92+O90+O122</f>
        <v>858.6</v>
      </c>
      <c r="P123" s="780">
        <f>P118+P113+P111+P109+P107+P105+P102+P100+P98+P96+P94+P92+P90+P122</f>
        <v>873.1</v>
      </c>
      <c r="Q123" s="778">
        <f>R123+T123</f>
        <v>1404.1999999999998</v>
      </c>
      <c r="R123" s="779">
        <f>R118+R113+R111+R109+R107+R105+R102+R100+R98+R96+R94+R92+R90+R122</f>
        <v>1394.1999999999998</v>
      </c>
      <c r="S123" s="779">
        <f>S118+S113+S111+S109+S107+S105+S102+S100+S98+S96+S94+S92+S90+S122</f>
        <v>858.80000000000007</v>
      </c>
      <c r="T123" s="781">
        <f>T118+T113+T111+T109+T107+T105+T102+T100+T98+T96+T94+T92+T90+T122</f>
        <v>10</v>
      </c>
      <c r="U123" s="778">
        <f>V123+X123</f>
        <v>1363.4999999999998</v>
      </c>
      <c r="V123" s="779">
        <f>V118+V113+V111+V109+V107+V105+V102+V100+V98+V96+V94+V92+V90+V122</f>
        <v>1363.4999999999998</v>
      </c>
      <c r="W123" s="779">
        <f>W118+W113+W111+W109+W107+W105+W102+W100+W98+W96+W94+W92+W90+W122</f>
        <v>863.30000000000007</v>
      </c>
      <c r="X123" s="781">
        <f>X118+X113+X111+X109+X107+X105+X102+X100+X98+X96+X94+X92+X90+X122</f>
        <v>0</v>
      </c>
    </row>
    <row r="124" spans="1:28" s="103" customFormat="1" ht="12.75" customHeight="1" thickBot="1" x14ac:dyDescent="0.25">
      <c r="A124" s="782">
        <v>2</v>
      </c>
      <c r="B124" s="2783" t="s">
        <v>167</v>
      </c>
      <c r="C124" s="2784"/>
      <c r="D124" s="2784"/>
      <c r="E124" s="2784"/>
      <c r="F124" s="2784"/>
      <c r="G124" s="2784"/>
      <c r="H124" s="2785"/>
      <c r="I124" s="783">
        <f t="shared" ref="I124:I125" si="108">SUM(J124,L124)</f>
        <v>3947.2</v>
      </c>
      <c r="J124" s="784">
        <f>SUM(J123,J63,J87)</f>
        <v>3585.4</v>
      </c>
      <c r="K124" s="784">
        <f>SUM(K123,K63,K87)</f>
        <v>704.3</v>
      </c>
      <c r="L124" s="784">
        <f>SUM(L123,L63,L87)</f>
        <v>361.7999999999999</v>
      </c>
      <c r="M124" s="783">
        <f t="shared" ref="M124:M125" si="109">SUM(N124,P124)</f>
        <v>6159.4</v>
      </c>
      <c r="N124" s="784">
        <f>SUM(N123,N63,N87)</f>
        <v>4182.7</v>
      </c>
      <c r="O124" s="784">
        <f>SUM(O123,O63,O87)</f>
        <v>863.7</v>
      </c>
      <c r="P124" s="784">
        <f>SUM(P123,P63,P87)</f>
        <v>1976.6999999999998</v>
      </c>
      <c r="Q124" s="783">
        <f t="shared" ref="Q124:Q125" si="110">SUM(R124,T124)</f>
        <v>4262.1000000000004</v>
      </c>
      <c r="R124" s="784">
        <f>SUM(R123,R63,R87)</f>
        <v>4252.1000000000004</v>
      </c>
      <c r="S124" s="784">
        <f>SUM(S123,S63,S87)</f>
        <v>858.80000000000007</v>
      </c>
      <c r="T124" s="784">
        <f>SUM(T123,T63,T87)</f>
        <v>10</v>
      </c>
      <c r="U124" s="783">
        <f t="shared" ref="U124:U125" si="111">SUM(V124,X124)</f>
        <v>4193.5</v>
      </c>
      <c r="V124" s="784">
        <f>SUM(V123,V63,V87)</f>
        <v>4193.5</v>
      </c>
      <c r="W124" s="784">
        <f>SUM(W123,W63,W87)</f>
        <v>863.30000000000007</v>
      </c>
      <c r="X124" s="2249">
        <f>SUM(X123,X63,X87)</f>
        <v>0</v>
      </c>
    </row>
    <row r="125" spans="1:28" s="103" customFormat="1" ht="12.75" customHeight="1" thickBot="1" x14ac:dyDescent="0.25">
      <c r="A125" s="2786" t="s">
        <v>208</v>
      </c>
      <c r="B125" s="2787"/>
      <c r="C125" s="2787"/>
      <c r="D125" s="2787"/>
      <c r="E125" s="2787"/>
      <c r="F125" s="2787"/>
      <c r="G125" s="2787"/>
      <c r="H125" s="2788"/>
      <c r="I125" s="785">
        <f t="shared" si="108"/>
        <v>7422.0999999999995</v>
      </c>
      <c r="J125" s="786">
        <f>J54+J124</f>
        <v>3690.9</v>
      </c>
      <c r="K125" s="786">
        <f>K54+K124</f>
        <v>704.3</v>
      </c>
      <c r="L125" s="787">
        <f>L54+L124</f>
        <v>3731.1999999999994</v>
      </c>
      <c r="M125" s="785">
        <f t="shared" si="109"/>
        <v>11078.8</v>
      </c>
      <c r="N125" s="786">
        <f>N54+N124</f>
        <v>4310.5999999999995</v>
      </c>
      <c r="O125" s="786">
        <f>O54+O124</f>
        <v>863.7</v>
      </c>
      <c r="P125" s="788">
        <f>P54+P124</f>
        <v>6768.2</v>
      </c>
      <c r="Q125" s="789">
        <f t="shared" si="110"/>
        <v>11004.1</v>
      </c>
      <c r="R125" s="790">
        <f>R54+R124</f>
        <v>4387.1000000000004</v>
      </c>
      <c r="S125" s="790">
        <f>S54+S124</f>
        <v>858.80000000000007</v>
      </c>
      <c r="T125" s="791">
        <f>T54+T124</f>
        <v>6617</v>
      </c>
      <c r="U125" s="789">
        <f t="shared" si="111"/>
        <v>8266.5</v>
      </c>
      <c r="V125" s="790">
        <f>V54+V124</f>
        <v>4278.5</v>
      </c>
      <c r="W125" s="790">
        <f>W54+W124</f>
        <v>863.30000000000007</v>
      </c>
      <c r="X125" s="791">
        <f>X54+X124</f>
        <v>3988</v>
      </c>
    </row>
    <row r="126" spans="1:28" ht="18.75" customHeight="1" x14ac:dyDescent="0.2">
      <c r="A126" s="2789" t="s">
        <v>413</v>
      </c>
      <c r="B126" s="2790"/>
      <c r="C126" s="2790"/>
      <c r="D126" s="2790"/>
      <c r="E126" s="2790"/>
      <c r="F126" s="2790"/>
      <c r="G126" s="2790"/>
      <c r="H126" s="2791"/>
      <c r="I126" s="792">
        <f>J126+L126</f>
        <v>1524.6</v>
      </c>
      <c r="J126" s="793">
        <f>SUM(J121,J115,J112,J110,J108,J106,J103,J101,J99,J97,J95,J93,J91,J89,J83,J77,J60,J57,J50,J48,J46,J44,J42,J40,J36,J34,J30,J12,J71,J28)</f>
        <v>1221.6999999999998</v>
      </c>
      <c r="K126" s="793">
        <f t="shared" ref="K126:L126" si="112">SUM(K121,K115,K112,K110,K108,K106,K103,K101,K99,K97,K95,K93,K91,K89,K83,K77,K60,K57,K50,K48,K46,K44,K42,K40,K36,K34,K30,K12,K71,K28)</f>
        <v>690.09999999999991</v>
      </c>
      <c r="L126" s="793">
        <f t="shared" si="112"/>
        <v>302.89999999999998</v>
      </c>
      <c r="M126" s="792">
        <f>N126+P126</f>
        <v>3585.8</v>
      </c>
      <c r="N126" s="793">
        <f>SUM(N121,N115,N112,N110,N108,N106,N103,N101,N99,N97,N95,N93,N91,N89,N83,N77,N60,N57,N50,N48,N46,N44,N42,N40,N36,N34,N30,N12,N71,N28)</f>
        <v>1878.1</v>
      </c>
      <c r="O126" s="793">
        <f t="shared" ref="O126:P126" si="113">SUM(O121,O115,O112,O110,O108,O106,O103,O101,O99,O97,O95,O93,O91,O89,O83,O77,O60,O57,O50,O48,O46,O44,O42,O40,O36,O34,O30,O12,O71,O28)</f>
        <v>863.7</v>
      </c>
      <c r="P126" s="793">
        <f t="shared" si="113"/>
        <v>1707.7000000000003</v>
      </c>
      <c r="Q126" s="792">
        <f>R126+T126</f>
        <v>2519.1999999999998</v>
      </c>
      <c r="R126" s="793">
        <f>SUM(R121,R115,R112,R110,R108,R106,R103,R101,R99,R97,R95,R93,R91,R89,R83,R77,R60,R57,R50,R48,R46,R44,R42,R40,R36,R34,R30,R12,R71,R28)</f>
        <v>1579.1999999999998</v>
      </c>
      <c r="S126" s="793">
        <f t="shared" ref="S126:T126" si="114">SUM(S121,S115,S112,S110,S108,S106,S103,S101,S99,S97,S95,S93,S91,S89,S83,S77,S60,S57,S50,S48,S46,S44,S42,S40,S36,S34,S30,S12,S71,S28)</f>
        <v>858.80000000000007</v>
      </c>
      <c r="T126" s="793">
        <f t="shared" si="114"/>
        <v>940</v>
      </c>
      <c r="U126" s="792">
        <f>V126+X126</f>
        <v>1488.4999999999998</v>
      </c>
      <c r="V126" s="793">
        <f>SUM(V121,V115,V112,V110,V108,V106,V103,V101,V99,V97,V95,V93,V91,V89,V83,V77,V60,V57,V50,V48,V46,V44,V42,V40,V36,V34,V30,V12,V71,V28)</f>
        <v>1488.4999999999998</v>
      </c>
      <c r="W126" s="793">
        <f t="shared" ref="W126:X126" si="115">SUM(W121,W115,W112,W110,W108,W106,W103,W101,W99,W97,W95,W93,W91,W89,W83,W77,W60,W57,W50,W48,W46,W44,W42,W40,W36,W34,W30,W12,W71,W28)</f>
        <v>863.30000000000007</v>
      </c>
      <c r="X126" s="794">
        <f t="shared" si="115"/>
        <v>0</v>
      </c>
    </row>
    <row r="127" spans="1:28" ht="13.5" customHeight="1" x14ac:dyDescent="0.2">
      <c r="A127" s="2769" t="s">
        <v>414</v>
      </c>
      <c r="B127" s="2770"/>
      <c r="C127" s="2770"/>
      <c r="D127" s="2770"/>
      <c r="E127" s="2770"/>
      <c r="F127" s="2770"/>
      <c r="G127" s="2770"/>
      <c r="H127" s="2771"/>
      <c r="I127" s="795">
        <f t="shared" ref="I127:I138" si="116">J127+L127</f>
        <v>293</v>
      </c>
      <c r="J127" s="796">
        <f>SUM(J65)</f>
        <v>263.2</v>
      </c>
      <c r="K127" s="796">
        <f t="shared" ref="K127:L127" si="117">SUM(K65)</f>
        <v>0</v>
      </c>
      <c r="L127" s="796">
        <f t="shared" si="117"/>
        <v>29.8</v>
      </c>
      <c r="M127" s="795">
        <f t="shared" ref="M127:M138" si="118">N127+P127</f>
        <v>280</v>
      </c>
      <c r="N127" s="796">
        <f>SUM(N65)</f>
        <v>250</v>
      </c>
      <c r="O127" s="796">
        <f t="shared" ref="O127:P127" si="119">SUM(O65)</f>
        <v>0</v>
      </c>
      <c r="P127" s="796">
        <f t="shared" si="119"/>
        <v>30</v>
      </c>
      <c r="Q127" s="795">
        <f t="shared" ref="Q127:Q138" si="120">R127+T127</f>
        <v>280</v>
      </c>
      <c r="R127" s="796">
        <f>SUM(R65)</f>
        <v>280</v>
      </c>
      <c r="S127" s="796">
        <f t="shared" ref="S127:T127" si="121">SUM(S65)</f>
        <v>0</v>
      </c>
      <c r="T127" s="796">
        <f t="shared" si="121"/>
        <v>0</v>
      </c>
      <c r="U127" s="795">
        <f t="shared" ref="U127:U138" si="122">V127+X127</f>
        <v>280</v>
      </c>
      <c r="V127" s="796">
        <f>SUM(V65)</f>
        <v>280</v>
      </c>
      <c r="W127" s="796">
        <f t="shared" ref="W127:X127" si="123">SUM(W65)</f>
        <v>0</v>
      </c>
      <c r="X127" s="797">
        <f t="shared" si="123"/>
        <v>0</v>
      </c>
    </row>
    <row r="128" spans="1:28" ht="12.75" customHeight="1" x14ac:dyDescent="0.2">
      <c r="A128" s="2769" t="s">
        <v>415</v>
      </c>
      <c r="B128" s="2770"/>
      <c r="C128" s="2770"/>
      <c r="D128" s="2770"/>
      <c r="E128" s="2770"/>
      <c r="F128" s="2770"/>
      <c r="G128" s="2770"/>
      <c r="H128" s="2771"/>
      <c r="I128" s="798">
        <f t="shared" si="116"/>
        <v>52.6</v>
      </c>
      <c r="J128" s="799">
        <f>SUM(J67)</f>
        <v>52.6</v>
      </c>
      <c r="K128" s="799">
        <f t="shared" ref="K128:L128" si="124">SUM(K67)</f>
        <v>0</v>
      </c>
      <c r="L128" s="799">
        <f t="shared" si="124"/>
        <v>0</v>
      </c>
      <c r="M128" s="798">
        <f t="shared" si="118"/>
        <v>65.400000000000006</v>
      </c>
      <c r="N128" s="799">
        <f>SUM(N67)</f>
        <v>65.400000000000006</v>
      </c>
      <c r="O128" s="799">
        <f t="shared" ref="O128:P128" si="125">SUM(O67)</f>
        <v>0</v>
      </c>
      <c r="P128" s="799">
        <f t="shared" si="125"/>
        <v>0</v>
      </c>
      <c r="Q128" s="798">
        <f t="shared" si="120"/>
        <v>0</v>
      </c>
      <c r="R128" s="799">
        <f>SUM(R67)</f>
        <v>0</v>
      </c>
      <c r="S128" s="799">
        <f t="shared" ref="S128:T128" si="126">SUM(S67)</f>
        <v>0</v>
      </c>
      <c r="T128" s="799">
        <f t="shared" si="126"/>
        <v>0</v>
      </c>
      <c r="U128" s="798">
        <f t="shared" si="122"/>
        <v>0</v>
      </c>
      <c r="V128" s="799">
        <f>SUM(V67)</f>
        <v>0</v>
      </c>
      <c r="W128" s="799">
        <f t="shared" ref="W128:X128" si="127">SUM(W67)</f>
        <v>0</v>
      </c>
      <c r="X128" s="800">
        <f t="shared" si="127"/>
        <v>0</v>
      </c>
    </row>
    <row r="129" spans="1:24" ht="12" customHeight="1" x14ac:dyDescent="0.2">
      <c r="A129" s="2769" t="s">
        <v>416</v>
      </c>
      <c r="B129" s="2770"/>
      <c r="C129" s="2770"/>
      <c r="D129" s="2770"/>
      <c r="E129" s="2770"/>
      <c r="F129" s="2770"/>
      <c r="G129" s="2770"/>
      <c r="H129" s="2771"/>
      <c r="I129" s="798">
        <f t="shared" si="116"/>
        <v>177.7</v>
      </c>
      <c r="J129" s="799">
        <f>SUM(J116,J114,J74,J59)</f>
        <v>12.600000000000001</v>
      </c>
      <c r="K129" s="799">
        <f t="shared" ref="K129:L129" si="128">SUM(K116,K114,K74,K59)</f>
        <v>14.2</v>
      </c>
      <c r="L129" s="799">
        <f t="shared" si="128"/>
        <v>165.1</v>
      </c>
      <c r="M129" s="798">
        <f t="shared" si="118"/>
        <v>215.9</v>
      </c>
      <c r="N129" s="799">
        <f>SUM(N116,N114,N74,N59)</f>
        <v>0</v>
      </c>
      <c r="O129" s="799">
        <f t="shared" ref="O129:P129" si="129">SUM(O116,O114,O74,O59)</f>
        <v>0</v>
      </c>
      <c r="P129" s="799">
        <f t="shared" si="129"/>
        <v>215.9</v>
      </c>
      <c r="Q129" s="798">
        <f t="shared" si="120"/>
        <v>0</v>
      </c>
      <c r="R129" s="799">
        <f>SUM(R116,R114,R74,R59)</f>
        <v>0</v>
      </c>
      <c r="S129" s="799">
        <f t="shared" ref="S129:T129" si="130">SUM(S116,S114,S74,S59)</f>
        <v>0</v>
      </c>
      <c r="T129" s="799">
        <f t="shared" si="130"/>
        <v>0</v>
      </c>
      <c r="U129" s="798">
        <f t="shared" si="122"/>
        <v>0</v>
      </c>
      <c r="V129" s="799">
        <f>SUM(V116,V114,V74,V59)</f>
        <v>0</v>
      </c>
      <c r="W129" s="799">
        <f t="shared" ref="W129:X129" si="131">SUM(W116,W114,W74,W59)</f>
        <v>0</v>
      </c>
      <c r="X129" s="800">
        <f t="shared" si="131"/>
        <v>0</v>
      </c>
    </row>
    <row r="130" spans="1:24" ht="13.5" customHeight="1" x14ac:dyDescent="0.2">
      <c r="A130" s="2769" t="s">
        <v>417</v>
      </c>
      <c r="B130" s="2770"/>
      <c r="C130" s="2770"/>
      <c r="D130" s="2770"/>
      <c r="E130" s="2770"/>
      <c r="F130" s="2770"/>
      <c r="G130" s="2770"/>
      <c r="H130" s="2771"/>
      <c r="I130" s="798">
        <f t="shared" si="116"/>
        <v>6</v>
      </c>
      <c r="J130" s="799">
        <f>SUM(J104)</f>
        <v>6</v>
      </c>
      <c r="K130" s="799">
        <f t="shared" ref="K130:L130" si="132">SUM(K104)</f>
        <v>0</v>
      </c>
      <c r="L130" s="799">
        <f t="shared" si="132"/>
        <v>0</v>
      </c>
      <c r="M130" s="798">
        <f t="shared" si="118"/>
        <v>10</v>
      </c>
      <c r="N130" s="799">
        <f>SUM(N104)</f>
        <v>10</v>
      </c>
      <c r="O130" s="799">
        <f t="shared" ref="O130:P130" si="133">SUM(O104)</f>
        <v>0</v>
      </c>
      <c r="P130" s="799">
        <f t="shared" si="133"/>
        <v>0</v>
      </c>
      <c r="Q130" s="798">
        <f t="shared" si="120"/>
        <v>10</v>
      </c>
      <c r="R130" s="799">
        <f>SUM(R104)</f>
        <v>10</v>
      </c>
      <c r="S130" s="799">
        <f t="shared" ref="S130:T130" si="134">SUM(S104)</f>
        <v>0</v>
      </c>
      <c r="T130" s="799">
        <f t="shared" si="134"/>
        <v>0</v>
      </c>
      <c r="U130" s="798">
        <f t="shared" si="122"/>
        <v>10</v>
      </c>
      <c r="V130" s="799">
        <f>SUM(V104)</f>
        <v>10</v>
      </c>
      <c r="W130" s="799">
        <f t="shared" ref="W130:X130" si="135">SUM(W104)</f>
        <v>0</v>
      </c>
      <c r="X130" s="800">
        <f t="shared" si="135"/>
        <v>0</v>
      </c>
    </row>
    <row r="131" spans="1:24" ht="13.5" customHeight="1" x14ac:dyDescent="0.2">
      <c r="A131" s="2769" t="s">
        <v>418</v>
      </c>
      <c r="B131" s="2770"/>
      <c r="C131" s="2770"/>
      <c r="D131" s="2770"/>
      <c r="E131" s="2770"/>
      <c r="F131" s="2770"/>
      <c r="G131" s="2770"/>
      <c r="H131" s="2771"/>
      <c r="I131" s="798">
        <f t="shared" si="116"/>
        <v>47.199999999999996</v>
      </c>
      <c r="J131" s="799">
        <f>SUM(J81,J76,J73,J66)</f>
        <v>34.799999999999997</v>
      </c>
      <c r="K131" s="799">
        <f t="shared" ref="K131:L131" si="136">SUM(K81,K76,K73,K66)</f>
        <v>0</v>
      </c>
      <c r="L131" s="799">
        <f t="shared" si="136"/>
        <v>12.399999999999999</v>
      </c>
      <c r="M131" s="798">
        <f t="shared" si="118"/>
        <v>61</v>
      </c>
      <c r="N131" s="799">
        <f>SUM(N81,N76,N73,N66)</f>
        <v>47.1</v>
      </c>
      <c r="O131" s="799">
        <f t="shared" ref="O131:P131" si="137">SUM(O81,O76,O73,O66)</f>
        <v>0</v>
      </c>
      <c r="P131" s="799">
        <f t="shared" si="137"/>
        <v>13.9</v>
      </c>
      <c r="Q131" s="798">
        <f t="shared" si="120"/>
        <v>17.899999999999999</v>
      </c>
      <c r="R131" s="799">
        <f>SUM(R81,R76,R73,R66)</f>
        <v>17.899999999999999</v>
      </c>
      <c r="S131" s="799">
        <f t="shared" ref="S131:T131" si="138">SUM(S81,S76,S73,S66)</f>
        <v>0</v>
      </c>
      <c r="T131" s="799">
        <f t="shared" si="138"/>
        <v>0</v>
      </c>
      <c r="U131" s="798">
        <f t="shared" si="122"/>
        <v>0</v>
      </c>
      <c r="V131" s="799">
        <f>SUM(V81,V76,V73,V66)</f>
        <v>0</v>
      </c>
      <c r="W131" s="799">
        <f t="shared" ref="W131:X131" si="139">SUM(W81,W76,W73,W66)</f>
        <v>0</v>
      </c>
      <c r="X131" s="800">
        <f t="shared" si="139"/>
        <v>0</v>
      </c>
    </row>
    <row r="132" spans="1:24" ht="11.25" x14ac:dyDescent="0.2">
      <c r="A132" s="2769" t="s">
        <v>419</v>
      </c>
      <c r="B132" s="2770"/>
      <c r="C132" s="2770"/>
      <c r="D132" s="2770"/>
      <c r="E132" s="2770"/>
      <c r="F132" s="2770"/>
      <c r="G132" s="2770"/>
      <c r="H132" s="2771"/>
      <c r="I132" s="798">
        <f t="shared" si="116"/>
        <v>2100</v>
      </c>
      <c r="J132" s="799">
        <f>SUM(J69,J72,J85)</f>
        <v>2100</v>
      </c>
      <c r="K132" s="799">
        <f t="shared" ref="K132:L132" si="140">SUM(K69,K72,K85)</f>
        <v>0</v>
      </c>
      <c r="L132" s="799">
        <f t="shared" si="140"/>
        <v>0</v>
      </c>
      <c r="M132" s="798">
        <f t="shared" si="118"/>
        <v>2500</v>
      </c>
      <c r="N132" s="799">
        <f>SUM(N69,N72,N85)</f>
        <v>2060</v>
      </c>
      <c r="O132" s="799">
        <f t="shared" ref="O132:P132" si="141">SUM(O69,O72,O85)</f>
        <v>0</v>
      </c>
      <c r="P132" s="799">
        <f t="shared" si="141"/>
        <v>440</v>
      </c>
      <c r="Q132" s="798">
        <f t="shared" si="120"/>
        <v>2500</v>
      </c>
      <c r="R132" s="799">
        <f>SUM(R69,R72,R85)</f>
        <v>2500</v>
      </c>
      <c r="S132" s="799">
        <f t="shared" ref="S132:T132" si="142">SUM(S69,S72,S85)</f>
        <v>0</v>
      </c>
      <c r="T132" s="799">
        <f t="shared" si="142"/>
        <v>0</v>
      </c>
      <c r="U132" s="798">
        <f t="shared" si="122"/>
        <v>2500</v>
      </c>
      <c r="V132" s="799">
        <f>SUM(V69,V72,V85)</f>
        <v>2500</v>
      </c>
      <c r="W132" s="799">
        <f t="shared" ref="W132:X132" si="143">SUM(W69,W72,W85)</f>
        <v>0</v>
      </c>
      <c r="X132" s="800">
        <f t="shared" si="143"/>
        <v>0</v>
      </c>
    </row>
    <row r="133" spans="1:24" ht="11.25" x14ac:dyDescent="0.2">
      <c r="A133" s="2769" t="s">
        <v>420</v>
      </c>
      <c r="B133" s="2770"/>
      <c r="C133" s="2770"/>
      <c r="D133" s="2770"/>
      <c r="E133" s="2770"/>
      <c r="F133" s="2770"/>
      <c r="G133" s="2770"/>
      <c r="H133" s="2771"/>
      <c r="I133" s="801"/>
      <c r="J133" s="799">
        <f>SUM(J79)</f>
        <v>0</v>
      </c>
      <c r="K133" s="799">
        <f t="shared" ref="K133:L133" si="144">SUM(K79)</f>
        <v>0</v>
      </c>
      <c r="L133" s="799">
        <f t="shared" si="144"/>
        <v>0</v>
      </c>
      <c r="M133" s="798">
        <f t="shared" si="118"/>
        <v>403.8</v>
      </c>
      <c r="N133" s="799">
        <f>SUM(N79)</f>
        <v>0</v>
      </c>
      <c r="O133" s="799">
        <f t="shared" ref="O133:P133" si="145">SUM(O79)</f>
        <v>0</v>
      </c>
      <c r="P133" s="799">
        <f t="shared" si="145"/>
        <v>403.8</v>
      </c>
      <c r="Q133" s="798"/>
      <c r="R133" s="799">
        <f>SUM(R79)</f>
        <v>0</v>
      </c>
      <c r="S133" s="799">
        <f t="shared" ref="S133:T133" si="146">SUM(S79)</f>
        <v>0</v>
      </c>
      <c r="T133" s="799">
        <f t="shared" si="146"/>
        <v>0</v>
      </c>
      <c r="U133" s="798"/>
      <c r="V133" s="799">
        <f>SUM(V79)</f>
        <v>0</v>
      </c>
      <c r="W133" s="799">
        <f t="shared" ref="W133:X133" si="147">SUM(W79)</f>
        <v>0</v>
      </c>
      <c r="X133" s="800">
        <f t="shared" si="147"/>
        <v>0</v>
      </c>
    </row>
    <row r="134" spans="1:24" ht="11.65" customHeight="1" x14ac:dyDescent="0.2">
      <c r="A134" s="2772" t="s">
        <v>421</v>
      </c>
      <c r="B134" s="2773"/>
      <c r="C134" s="2773"/>
      <c r="D134" s="2773"/>
      <c r="E134" s="2773"/>
      <c r="F134" s="2773"/>
      <c r="G134" s="2773"/>
      <c r="H134" s="2773"/>
      <c r="I134" s="801">
        <f t="shared" si="116"/>
        <v>394.3</v>
      </c>
      <c r="J134" s="799">
        <f>SUM(J38,J31)</f>
        <v>0</v>
      </c>
      <c r="K134" s="799">
        <f t="shared" ref="K134:L134" si="148">SUM(K38,K31)</f>
        <v>0</v>
      </c>
      <c r="L134" s="799">
        <f t="shared" si="148"/>
        <v>394.3</v>
      </c>
      <c r="M134" s="801">
        <f t="shared" si="118"/>
        <v>300</v>
      </c>
      <c r="N134" s="799">
        <f>SUM(N38,N31,N51)</f>
        <v>0</v>
      </c>
      <c r="O134" s="799">
        <f t="shared" ref="O134:P134" si="149">SUM(O38,O31,O51)</f>
        <v>0</v>
      </c>
      <c r="P134" s="799">
        <f t="shared" si="149"/>
        <v>300</v>
      </c>
      <c r="Q134" s="798">
        <f t="shared" si="120"/>
        <v>0</v>
      </c>
      <c r="R134" s="799">
        <f>SUM(R38,R31)</f>
        <v>0</v>
      </c>
      <c r="S134" s="799">
        <f t="shared" ref="S134:T134" si="150">SUM(S38,S31)</f>
        <v>0</v>
      </c>
      <c r="T134" s="799">
        <f t="shared" si="150"/>
        <v>0</v>
      </c>
      <c r="U134" s="798">
        <f t="shared" si="122"/>
        <v>0</v>
      </c>
      <c r="V134" s="799">
        <f>SUM(V38,V31)</f>
        <v>0</v>
      </c>
      <c r="W134" s="799">
        <f t="shared" ref="W134:X134" si="151">SUM(W38,W31)</f>
        <v>0</v>
      </c>
      <c r="X134" s="800">
        <f t="shared" si="151"/>
        <v>0</v>
      </c>
    </row>
    <row r="135" spans="1:24" ht="11.65" customHeight="1" x14ac:dyDescent="0.2">
      <c r="A135" s="2772" t="s">
        <v>217</v>
      </c>
      <c r="B135" s="2773"/>
      <c r="C135" s="2773"/>
      <c r="D135" s="2773"/>
      <c r="E135" s="2773"/>
      <c r="F135" s="2773"/>
      <c r="G135" s="2773"/>
      <c r="H135" s="2773"/>
      <c r="I135" s="798">
        <f t="shared" si="116"/>
        <v>230.70000000000002</v>
      </c>
      <c r="J135" s="799">
        <f>SUM(J117,J37,J32,J27,J119)</f>
        <v>0</v>
      </c>
      <c r="K135" s="799">
        <f t="shared" ref="K135:L135" si="152">SUM(K117,K37,K32,K27,K119)</f>
        <v>0</v>
      </c>
      <c r="L135" s="799">
        <f t="shared" si="152"/>
        <v>230.70000000000002</v>
      </c>
      <c r="M135" s="798">
        <f t="shared" si="118"/>
        <v>0</v>
      </c>
      <c r="N135" s="799">
        <f>SUM(N117,N37,N32,N27,N119)</f>
        <v>0</v>
      </c>
      <c r="O135" s="799">
        <f t="shared" ref="O135:P135" si="153">SUM(O117,O37,O32,O27,O119)</f>
        <v>0</v>
      </c>
      <c r="P135" s="799">
        <f t="shared" si="153"/>
        <v>0</v>
      </c>
      <c r="Q135" s="798">
        <f t="shared" si="120"/>
        <v>0</v>
      </c>
      <c r="R135" s="799">
        <f>SUM(R117,R37,R32,R27,R119)</f>
        <v>0</v>
      </c>
      <c r="S135" s="799">
        <f t="shared" ref="S135:T135" si="154">SUM(S117,S37,S32,S27,S119)</f>
        <v>0</v>
      </c>
      <c r="T135" s="799">
        <f t="shared" si="154"/>
        <v>0</v>
      </c>
      <c r="U135" s="798">
        <f t="shared" si="122"/>
        <v>0</v>
      </c>
      <c r="V135" s="799">
        <f>SUM(V117,V37,V32,V27,V119)</f>
        <v>0</v>
      </c>
      <c r="W135" s="799">
        <f t="shared" ref="W135:X135" si="155">SUM(W117,W37,W32,W27,W119)</f>
        <v>0</v>
      </c>
      <c r="X135" s="800">
        <f t="shared" si="155"/>
        <v>0</v>
      </c>
    </row>
    <row r="136" spans="1:24" ht="11.65" customHeight="1" x14ac:dyDescent="0.2">
      <c r="A136" s="2772" t="s">
        <v>422</v>
      </c>
      <c r="B136" s="2773"/>
      <c r="C136" s="2773"/>
      <c r="D136" s="2773"/>
      <c r="E136" s="2773"/>
      <c r="F136" s="2773"/>
      <c r="G136" s="2773"/>
      <c r="H136" s="2773"/>
      <c r="I136" s="798">
        <f t="shared" si="116"/>
        <v>339</v>
      </c>
      <c r="J136" s="799">
        <f>J15</f>
        <v>0</v>
      </c>
      <c r="K136" s="799">
        <f t="shared" ref="K136:L136" si="156">K15</f>
        <v>0</v>
      </c>
      <c r="L136" s="799">
        <f t="shared" si="156"/>
        <v>339</v>
      </c>
      <c r="M136" s="798">
        <f t="shared" si="118"/>
        <v>589</v>
      </c>
      <c r="N136" s="799">
        <f>N15</f>
        <v>0</v>
      </c>
      <c r="O136" s="799">
        <f t="shared" ref="O136:P136" si="157">O15</f>
        <v>0</v>
      </c>
      <c r="P136" s="799">
        <f t="shared" si="157"/>
        <v>589</v>
      </c>
      <c r="Q136" s="798">
        <f t="shared" si="120"/>
        <v>0</v>
      </c>
      <c r="R136" s="799">
        <f>R15</f>
        <v>0</v>
      </c>
      <c r="S136" s="799">
        <f t="shared" ref="S136:T136" si="158">S15</f>
        <v>0</v>
      </c>
      <c r="T136" s="799">
        <f t="shared" si="158"/>
        <v>0</v>
      </c>
      <c r="U136" s="798">
        <f t="shared" si="122"/>
        <v>0</v>
      </c>
      <c r="V136" s="799">
        <f>V15</f>
        <v>0</v>
      </c>
      <c r="W136" s="799">
        <f t="shared" ref="W136:X136" si="159">W15</f>
        <v>0</v>
      </c>
      <c r="X136" s="800">
        <f t="shared" si="159"/>
        <v>0</v>
      </c>
    </row>
    <row r="137" spans="1:24" ht="11.65" customHeight="1" x14ac:dyDescent="0.2">
      <c r="A137" s="2772" t="s">
        <v>423</v>
      </c>
      <c r="B137" s="2773"/>
      <c r="C137" s="2773"/>
      <c r="D137" s="2773"/>
      <c r="E137" s="2773"/>
      <c r="F137" s="2773"/>
      <c r="G137" s="2773"/>
      <c r="H137" s="2117"/>
      <c r="I137" s="802"/>
      <c r="J137" s="803"/>
      <c r="K137" s="803"/>
      <c r="L137" s="803"/>
      <c r="M137" s="798">
        <f t="shared" si="118"/>
        <v>336.9</v>
      </c>
      <c r="N137" s="803"/>
      <c r="O137" s="803"/>
      <c r="P137" s="803">
        <f>P120</f>
        <v>336.9</v>
      </c>
      <c r="Q137" s="798"/>
      <c r="R137" s="803"/>
      <c r="S137" s="803"/>
      <c r="T137" s="803"/>
      <c r="U137" s="798"/>
      <c r="V137" s="803"/>
      <c r="W137" s="803"/>
      <c r="X137" s="804"/>
    </row>
    <row r="138" spans="1:24" ht="11.65" customHeight="1" thickBot="1" x14ac:dyDescent="0.25">
      <c r="A138" s="2772" t="s">
        <v>424</v>
      </c>
      <c r="B138" s="2773"/>
      <c r="C138" s="2773"/>
      <c r="D138" s="2773"/>
      <c r="E138" s="2773"/>
      <c r="F138" s="2773"/>
      <c r="G138" s="2773"/>
      <c r="H138" s="2773"/>
      <c r="I138" s="802">
        <f t="shared" si="116"/>
        <v>2257</v>
      </c>
      <c r="J138" s="803">
        <f>SUM(J23,J21,J19,J17,J14)</f>
        <v>0</v>
      </c>
      <c r="K138" s="803">
        <f t="shared" ref="K138:L138" si="160">SUM(K23,K21,K19,K17,K14)</f>
        <v>0</v>
      </c>
      <c r="L138" s="803">
        <f t="shared" si="160"/>
        <v>2257</v>
      </c>
      <c r="M138" s="802">
        <f t="shared" si="118"/>
        <v>2731</v>
      </c>
      <c r="N138" s="803">
        <f>SUM(N23,N21,N19,N17,N14)</f>
        <v>0</v>
      </c>
      <c r="O138" s="803">
        <f t="shared" ref="O138:P138" si="161">SUM(O23,O21,O19,O17,O14)</f>
        <v>0</v>
      </c>
      <c r="P138" s="803">
        <f t="shared" si="161"/>
        <v>2731</v>
      </c>
      <c r="Q138" s="798">
        <f t="shared" si="120"/>
        <v>5677</v>
      </c>
      <c r="R138" s="803">
        <f>SUM(R23,R21,R19,R17,R14)</f>
        <v>0</v>
      </c>
      <c r="S138" s="803">
        <f t="shared" ref="S138:T138" si="162">SUM(S23,S21,S19,S17,S14)</f>
        <v>0</v>
      </c>
      <c r="T138" s="803">
        <f t="shared" si="162"/>
        <v>5677</v>
      </c>
      <c r="U138" s="798">
        <f t="shared" si="122"/>
        <v>3988</v>
      </c>
      <c r="V138" s="803">
        <f>SUM(V23,V21,V19,V17,V14)</f>
        <v>0</v>
      </c>
      <c r="W138" s="803">
        <f t="shared" ref="W138:X138" si="163">SUM(W23,W21,W19,W17,W14)</f>
        <v>0</v>
      </c>
      <c r="X138" s="804">
        <f t="shared" si="163"/>
        <v>3988</v>
      </c>
    </row>
    <row r="139" spans="1:24" thickBot="1" x14ac:dyDescent="0.25">
      <c r="A139" s="2774" t="s">
        <v>222</v>
      </c>
      <c r="B139" s="2775"/>
      <c r="C139" s="2775"/>
      <c r="D139" s="2775"/>
      <c r="E139" s="2775"/>
      <c r="F139" s="2775"/>
      <c r="G139" s="2775"/>
      <c r="H139" s="2775"/>
      <c r="I139" s="805">
        <f>SUM(J139,L139)</f>
        <v>7422.0999999999995</v>
      </c>
      <c r="J139" s="806">
        <f>SUM(J126:J138)</f>
        <v>3690.8999999999996</v>
      </c>
      <c r="K139" s="806">
        <f>SUM(K126:K138)</f>
        <v>704.3</v>
      </c>
      <c r="L139" s="807">
        <f>SUM(L126:L138)</f>
        <v>3731.2</v>
      </c>
      <c r="M139" s="808">
        <f>SUM(N139,P139)</f>
        <v>11078.800000000001</v>
      </c>
      <c r="N139" s="806">
        <f>SUM(N126:N138)</f>
        <v>4310.6000000000004</v>
      </c>
      <c r="O139" s="806">
        <f>SUM(O126:O138)</f>
        <v>863.7</v>
      </c>
      <c r="P139" s="807">
        <f>SUM(P126:P138)</f>
        <v>6768.2000000000007</v>
      </c>
      <c r="Q139" s="808">
        <f>SUM(R139,T139)</f>
        <v>11004.1</v>
      </c>
      <c r="R139" s="806">
        <f>SUM(R126:R138)</f>
        <v>4387.1000000000004</v>
      </c>
      <c r="S139" s="806">
        <f>SUM(S126:S138)</f>
        <v>858.80000000000007</v>
      </c>
      <c r="T139" s="807">
        <f>SUM(T126:T138)</f>
        <v>6617</v>
      </c>
      <c r="U139" s="808">
        <f>SUM(V139,X139)</f>
        <v>8266.5</v>
      </c>
      <c r="V139" s="806">
        <f>SUM(V126:V138)</f>
        <v>4278.5</v>
      </c>
      <c r="W139" s="806">
        <f>SUM(W126:W138)</f>
        <v>863.30000000000007</v>
      </c>
      <c r="X139" s="807">
        <f>SUM(X126:X138)</f>
        <v>3988</v>
      </c>
    </row>
    <row r="141" spans="1:24" x14ac:dyDescent="0.2">
      <c r="I141" s="541">
        <f t="shared" ref="I141:X141" si="164">I125-I139</f>
        <v>0</v>
      </c>
      <c r="J141" s="541">
        <f t="shared" si="164"/>
        <v>0</v>
      </c>
      <c r="K141" s="541">
        <f t="shared" si="164"/>
        <v>0</v>
      </c>
      <c r="L141" s="541">
        <f t="shared" si="164"/>
        <v>0</v>
      </c>
      <c r="M141" s="541">
        <f t="shared" si="164"/>
        <v>0</v>
      </c>
      <c r="N141" s="541">
        <f t="shared" si="164"/>
        <v>0</v>
      </c>
      <c r="O141" s="541">
        <f t="shared" si="164"/>
        <v>0</v>
      </c>
      <c r="P141" s="541">
        <f t="shared" si="164"/>
        <v>0</v>
      </c>
      <c r="Q141" s="541">
        <f t="shared" si="164"/>
        <v>0</v>
      </c>
      <c r="R141" s="541">
        <f t="shared" si="164"/>
        <v>0</v>
      </c>
      <c r="S141" s="541">
        <f t="shared" si="164"/>
        <v>0</v>
      </c>
      <c r="T141" s="541">
        <f t="shared" si="164"/>
        <v>0</v>
      </c>
      <c r="U141" s="541">
        <f t="shared" si="164"/>
        <v>0</v>
      </c>
      <c r="V141" s="541">
        <f t="shared" si="164"/>
        <v>0</v>
      </c>
      <c r="W141" s="541">
        <f t="shared" si="164"/>
        <v>0</v>
      </c>
      <c r="X141" s="541">
        <f t="shared" si="164"/>
        <v>0</v>
      </c>
    </row>
    <row r="144" spans="1:24" x14ac:dyDescent="0.2">
      <c r="M144" s="541">
        <f>M139-SUM(M126:M138)</f>
        <v>0</v>
      </c>
    </row>
  </sheetData>
  <mergeCells count="328">
    <mergeCell ref="L1:P1"/>
    <mergeCell ref="Q1:T1"/>
    <mergeCell ref="U1:X1"/>
    <mergeCell ref="A2:X2"/>
    <mergeCell ref="A3:H3"/>
    <mergeCell ref="K3:L3"/>
    <mergeCell ref="O3:P3"/>
    <mergeCell ref="A137:G137"/>
    <mergeCell ref="F50:F51"/>
    <mergeCell ref="G50:G51"/>
    <mergeCell ref="A12:A13"/>
    <mergeCell ref="B12:B13"/>
    <mergeCell ref="C12:C13"/>
    <mergeCell ref="D12:D13"/>
    <mergeCell ref="E12:E13"/>
    <mergeCell ref="H4:H7"/>
    <mergeCell ref="A4:A7"/>
    <mergeCell ref="B4:B7"/>
    <mergeCell ref="C4:C7"/>
    <mergeCell ref="D4:D7"/>
    <mergeCell ref="E4:E7"/>
    <mergeCell ref="F4:F7"/>
    <mergeCell ref="F16:H16"/>
    <mergeCell ref="A17:A18"/>
    <mergeCell ref="T6:T7"/>
    <mergeCell ref="V6:W6"/>
    <mergeCell ref="X6:X7"/>
    <mergeCell ref="I5:I7"/>
    <mergeCell ref="J5:L5"/>
    <mergeCell ref="M5:M7"/>
    <mergeCell ref="N5:P5"/>
    <mergeCell ref="Q5:Q7"/>
    <mergeCell ref="R5:T5"/>
    <mergeCell ref="U5:U7"/>
    <mergeCell ref="V5:X5"/>
    <mergeCell ref="L6:L7"/>
    <mergeCell ref="A8:X8"/>
    <mergeCell ref="A9:X9"/>
    <mergeCell ref="B10:X10"/>
    <mergeCell ref="C11:X11"/>
    <mergeCell ref="G4:G7"/>
    <mergeCell ref="B17:B18"/>
    <mergeCell ref="C17:C18"/>
    <mergeCell ref="D17:D18"/>
    <mergeCell ref="E17:E18"/>
    <mergeCell ref="F13:H13"/>
    <mergeCell ref="A14:A16"/>
    <mergeCell ref="B14:B16"/>
    <mergeCell ref="C14:C16"/>
    <mergeCell ref="D14:D16"/>
    <mergeCell ref="E14:E16"/>
    <mergeCell ref="F14:F15"/>
    <mergeCell ref="G14:G15"/>
    <mergeCell ref="F18:H18"/>
    <mergeCell ref="I4:L4"/>
    <mergeCell ref="M4:P4"/>
    <mergeCell ref="Q4:T4"/>
    <mergeCell ref="U4:X4"/>
    <mergeCell ref="P6:P7"/>
    <mergeCell ref="R6:S6"/>
    <mergeCell ref="A19:A20"/>
    <mergeCell ref="B19:B20"/>
    <mergeCell ref="C19:C20"/>
    <mergeCell ref="D19:D20"/>
    <mergeCell ref="E19:E20"/>
    <mergeCell ref="F20:H20"/>
    <mergeCell ref="A23:A24"/>
    <mergeCell ref="B23:B24"/>
    <mergeCell ref="C23:C24"/>
    <mergeCell ref="D23:D24"/>
    <mergeCell ref="E23:E24"/>
    <mergeCell ref="F24:H24"/>
    <mergeCell ref="A21:A22"/>
    <mergeCell ref="B21:B22"/>
    <mergeCell ref="C21:C22"/>
    <mergeCell ref="D21:D22"/>
    <mergeCell ref="E21:E22"/>
    <mergeCell ref="F22:H22"/>
    <mergeCell ref="C25:H25"/>
    <mergeCell ref="C26:X26"/>
    <mergeCell ref="A27:A29"/>
    <mergeCell ref="B27:B29"/>
    <mergeCell ref="C27:C29"/>
    <mergeCell ref="D27:D29"/>
    <mergeCell ref="E27:E29"/>
    <mergeCell ref="F27:F28"/>
    <mergeCell ref="G27:G28"/>
    <mergeCell ref="F29:H29"/>
    <mergeCell ref="A30:A33"/>
    <mergeCell ref="B30:B33"/>
    <mergeCell ref="C30:C33"/>
    <mergeCell ref="D30:D33"/>
    <mergeCell ref="E30:E33"/>
    <mergeCell ref="F30:F32"/>
    <mergeCell ref="G30:G32"/>
    <mergeCell ref="F33:H33"/>
    <mergeCell ref="A34:A35"/>
    <mergeCell ref="B34:B35"/>
    <mergeCell ref="C34:C35"/>
    <mergeCell ref="D34:D35"/>
    <mergeCell ref="E34:E35"/>
    <mergeCell ref="F35:H35"/>
    <mergeCell ref="G36:G38"/>
    <mergeCell ref="F39:H39"/>
    <mergeCell ref="A40:A41"/>
    <mergeCell ref="B40:B41"/>
    <mergeCell ref="C40:C41"/>
    <mergeCell ref="D40:D41"/>
    <mergeCell ref="E40:E41"/>
    <mergeCell ref="F41:H41"/>
    <mergeCell ref="A36:A39"/>
    <mergeCell ref="B36:B39"/>
    <mergeCell ref="C36:C39"/>
    <mergeCell ref="D36:D39"/>
    <mergeCell ref="E36:E39"/>
    <mergeCell ref="F36:F38"/>
    <mergeCell ref="A44:A45"/>
    <mergeCell ref="B44:B45"/>
    <mergeCell ref="C44:C45"/>
    <mergeCell ref="D44:D45"/>
    <mergeCell ref="E44:E45"/>
    <mergeCell ref="F45:H45"/>
    <mergeCell ref="A42:A43"/>
    <mergeCell ref="B42:B43"/>
    <mergeCell ref="C42:C43"/>
    <mergeCell ref="D42:D43"/>
    <mergeCell ref="E42:E43"/>
    <mergeCell ref="F43:H43"/>
    <mergeCell ref="F49:H49"/>
    <mergeCell ref="A46:A47"/>
    <mergeCell ref="B46:B47"/>
    <mergeCell ref="C46:C47"/>
    <mergeCell ref="D46:D47"/>
    <mergeCell ref="E46:E47"/>
    <mergeCell ref="F47:H47"/>
    <mergeCell ref="A50:A52"/>
    <mergeCell ref="B50:B52"/>
    <mergeCell ref="C50:C52"/>
    <mergeCell ref="D50:D52"/>
    <mergeCell ref="E50:E52"/>
    <mergeCell ref="F52:H52"/>
    <mergeCell ref="A48:A49"/>
    <mergeCell ref="B48:B49"/>
    <mergeCell ref="C48:C49"/>
    <mergeCell ref="D48:D49"/>
    <mergeCell ref="E48:E49"/>
    <mergeCell ref="C53:H53"/>
    <mergeCell ref="B54:H54"/>
    <mergeCell ref="B55:X55"/>
    <mergeCell ref="C56:X56"/>
    <mergeCell ref="A57:A58"/>
    <mergeCell ref="B57:B58"/>
    <mergeCell ref="C57:C58"/>
    <mergeCell ref="D57:D58"/>
    <mergeCell ref="E57:E58"/>
    <mergeCell ref="F58:H58"/>
    <mergeCell ref="G65:G67"/>
    <mergeCell ref="F68:H68"/>
    <mergeCell ref="A69:A70"/>
    <mergeCell ref="B69:B70"/>
    <mergeCell ref="C69:C70"/>
    <mergeCell ref="D69:D70"/>
    <mergeCell ref="E69:E70"/>
    <mergeCell ref="F70:H70"/>
    <mergeCell ref="G59:G61"/>
    <mergeCell ref="F62:H62"/>
    <mergeCell ref="C63:H63"/>
    <mergeCell ref="C64:X64"/>
    <mergeCell ref="A65:A68"/>
    <mergeCell ref="B65:B68"/>
    <mergeCell ref="C65:C68"/>
    <mergeCell ref="D65:D68"/>
    <mergeCell ref="E65:E68"/>
    <mergeCell ref="F65:F67"/>
    <mergeCell ref="A59:A62"/>
    <mergeCell ref="B59:B62"/>
    <mergeCell ref="C59:C62"/>
    <mergeCell ref="D59:D62"/>
    <mergeCell ref="E59:E62"/>
    <mergeCell ref="F59:F61"/>
    <mergeCell ref="A79:A80"/>
    <mergeCell ref="B79:B80"/>
    <mergeCell ref="C79:C80"/>
    <mergeCell ref="D79:D80"/>
    <mergeCell ref="E79:E80"/>
    <mergeCell ref="F80:H80"/>
    <mergeCell ref="G71:G74"/>
    <mergeCell ref="F75:H75"/>
    <mergeCell ref="A76:A78"/>
    <mergeCell ref="B76:B78"/>
    <mergeCell ref="C76:C78"/>
    <mergeCell ref="D76:D78"/>
    <mergeCell ref="E76:E78"/>
    <mergeCell ref="F76:F77"/>
    <mergeCell ref="G76:G77"/>
    <mergeCell ref="F78:H78"/>
    <mergeCell ref="A71:A75"/>
    <mergeCell ref="B71:B75"/>
    <mergeCell ref="C71:C75"/>
    <mergeCell ref="D71:D75"/>
    <mergeCell ref="E71:E75"/>
    <mergeCell ref="F71:F74"/>
    <mergeCell ref="A83:A84"/>
    <mergeCell ref="B83:B84"/>
    <mergeCell ref="C83:C84"/>
    <mergeCell ref="D83:D84"/>
    <mergeCell ref="E83:E84"/>
    <mergeCell ref="F84:H84"/>
    <mergeCell ref="A81:A82"/>
    <mergeCell ref="B81:B82"/>
    <mergeCell ref="C81:C82"/>
    <mergeCell ref="D81:D82"/>
    <mergeCell ref="E81:E82"/>
    <mergeCell ref="F82:H82"/>
    <mergeCell ref="C87:H87"/>
    <mergeCell ref="C88:X88"/>
    <mergeCell ref="A89:A90"/>
    <mergeCell ref="B89:B90"/>
    <mergeCell ref="C89:C90"/>
    <mergeCell ref="D89:D90"/>
    <mergeCell ref="E89:E90"/>
    <mergeCell ref="F90:H90"/>
    <mergeCell ref="A85:A86"/>
    <mergeCell ref="B85:B86"/>
    <mergeCell ref="C85:C86"/>
    <mergeCell ref="D85:D86"/>
    <mergeCell ref="E85:E86"/>
    <mergeCell ref="F86:H86"/>
    <mergeCell ref="A93:A94"/>
    <mergeCell ref="B93:B94"/>
    <mergeCell ref="C93:C94"/>
    <mergeCell ref="D93:D94"/>
    <mergeCell ref="E93:E94"/>
    <mergeCell ref="F94:H94"/>
    <mergeCell ref="A91:A92"/>
    <mergeCell ref="B91:B92"/>
    <mergeCell ref="C91:C92"/>
    <mergeCell ref="D91:D92"/>
    <mergeCell ref="E91:E92"/>
    <mergeCell ref="F92:H92"/>
    <mergeCell ref="A97:A98"/>
    <mergeCell ref="B97:B98"/>
    <mergeCell ref="C97:C98"/>
    <mergeCell ref="D97:D98"/>
    <mergeCell ref="E97:E98"/>
    <mergeCell ref="F98:H98"/>
    <mergeCell ref="A95:A96"/>
    <mergeCell ref="B95:B96"/>
    <mergeCell ref="C95:C96"/>
    <mergeCell ref="D95:D96"/>
    <mergeCell ref="E95:E96"/>
    <mergeCell ref="F96:H96"/>
    <mergeCell ref="A101:A102"/>
    <mergeCell ref="B101:B102"/>
    <mergeCell ref="C101:C102"/>
    <mergeCell ref="D101:D102"/>
    <mergeCell ref="E101:E102"/>
    <mergeCell ref="F102:H102"/>
    <mergeCell ref="A99:A100"/>
    <mergeCell ref="B99:B100"/>
    <mergeCell ref="C99:C100"/>
    <mergeCell ref="D99:D100"/>
    <mergeCell ref="E99:E100"/>
    <mergeCell ref="F100:H100"/>
    <mergeCell ref="A108:A109"/>
    <mergeCell ref="B108:B109"/>
    <mergeCell ref="C108:C109"/>
    <mergeCell ref="D108:D109"/>
    <mergeCell ref="E108:E109"/>
    <mergeCell ref="F109:H109"/>
    <mergeCell ref="G103:G104"/>
    <mergeCell ref="F105:H105"/>
    <mergeCell ref="A106:A107"/>
    <mergeCell ref="B106:B107"/>
    <mergeCell ref="C106:C107"/>
    <mergeCell ref="D106:D107"/>
    <mergeCell ref="E106:E107"/>
    <mergeCell ref="F107:H107"/>
    <mergeCell ref="A103:A105"/>
    <mergeCell ref="B103:B105"/>
    <mergeCell ref="C103:C105"/>
    <mergeCell ref="D103:D105"/>
    <mergeCell ref="E103:E105"/>
    <mergeCell ref="F103:F104"/>
    <mergeCell ref="A114:A118"/>
    <mergeCell ref="B114:B118"/>
    <mergeCell ref="C114:C118"/>
    <mergeCell ref="D114:D118"/>
    <mergeCell ref="F114:F117"/>
    <mergeCell ref="G114:G117"/>
    <mergeCell ref="E115:E117"/>
    <mergeCell ref="F118:H118"/>
    <mergeCell ref="F111:H111"/>
    <mergeCell ref="A112:A113"/>
    <mergeCell ref="B112:B113"/>
    <mergeCell ref="C112:C113"/>
    <mergeCell ref="D112:D113"/>
    <mergeCell ref="E112:E113"/>
    <mergeCell ref="F113:H113"/>
    <mergeCell ref="A110:A111"/>
    <mergeCell ref="B110:B111"/>
    <mergeCell ref="C110:C111"/>
    <mergeCell ref="D110:D111"/>
    <mergeCell ref="E110:E111"/>
    <mergeCell ref="G119:G121"/>
    <mergeCell ref="F122:H122"/>
    <mergeCell ref="C123:H123"/>
    <mergeCell ref="B124:H124"/>
    <mergeCell ref="A125:H125"/>
    <mergeCell ref="A126:H126"/>
    <mergeCell ref="A119:A123"/>
    <mergeCell ref="B119:B123"/>
    <mergeCell ref="C119:C122"/>
    <mergeCell ref="D119:D122"/>
    <mergeCell ref="E119:E121"/>
    <mergeCell ref="F119:F121"/>
    <mergeCell ref="A133:H133"/>
    <mergeCell ref="A134:H134"/>
    <mergeCell ref="A135:H135"/>
    <mergeCell ref="A136:H136"/>
    <mergeCell ref="A138:H138"/>
    <mergeCell ref="A139:H139"/>
    <mergeCell ref="A127:H127"/>
    <mergeCell ref="A128:H128"/>
    <mergeCell ref="A129:H129"/>
    <mergeCell ref="A130:H130"/>
    <mergeCell ref="A131:H131"/>
    <mergeCell ref="A132:H132"/>
  </mergeCells>
  <printOptions horizontalCentered="1"/>
  <pageMargins left="0.23622047244094491" right="0.23622047244094491" top="0.59055118110236227" bottom="0.59055118110236227" header="0.31496062992125984" footer="0.31496062992125984"/>
  <pageSetup paperSize="9" scale="74" fitToHeight="17" orientation="landscape" cellComments="asDisplayed" useFirstPageNumber="1" r:id="rId1"/>
  <headerFooter scaleWithDoc="0">
    <oddHeader>&amp;C&amp;P&amp;R3 programa</oddHead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1"/>
  <sheetViews>
    <sheetView showZeros="0" topLeftCell="A87" zoomScale="130" zoomScaleNormal="130" zoomScaleSheetLayoutView="115" workbookViewId="0">
      <selection activeCell="P111" sqref="P111"/>
    </sheetView>
  </sheetViews>
  <sheetFormatPr defaultColWidth="8.85546875" defaultRowHeight="15" x14ac:dyDescent="0.25"/>
  <cols>
    <col min="1" max="1" width="2.5703125" style="169" customWidth="1"/>
    <col min="2" max="2" width="2.42578125" style="169" customWidth="1"/>
    <col min="3" max="3" width="2.5703125" style="169" customWidth="1"/>
    <col min="4" max="4" width="22.42578125" style="170" customWidth="1"/>
    <col min="5" max="5" width="3.7109375" style="169" customWidth="1"/>
    <col min="6" max="6" width="10" style="171" customWidth="1"/>
    <col min="7" max="7" width="7.5703125" style="169" customWidth="1"/>
    <col min="8" max="8" width="6" style="128" customWidth="1"/>
    <col min="9" max="9" width="8" style="123" customWidth="1"/>
    <col min="10" max="10" width="7.28515625" style="168" customWidth="1"/>
    <col min="11" max="11" width="6.28515625" style="168" customWidth="1"/>
    <col min="12" max="12" width="6.42578125" style="168" customWidth="1"/>
    <col min="13" max="13" width="7.42578125" style="123" customWidth="1"/>
    <col min="14" max="15" width="6.42578125" style="168" customWidth="1"/>
    <col min="16" max="16" width="7.5703125" style="168" customWidth="1"/>
    <col min="17" max="17" width="6.28515625" style="123" customWidth="1"/>
    <col min="18" max="18" width="6.5703125" style="168" customWidth="1"/>
    <col min="19" max="19" width="6.7109375" style="168" customWidth="1"/>
    <col min="20" max="20" width="6.42578125" style="168" customWidth="1"/>
    <col min="21" max="21" width="6.28515625" style="123" customWidth="1"/>
    <col min="22" max="22" width="6.5703125" style="168" customWidth="1"/>
    <col min="23" max="23" width="6" style="168" customWidth="1"/>
    <col min="24" max="24" width="5.5703125" style="168" customWidth="1"/>
    <col min="25" max="25" width="2.42578125" style="810" customWidth="1"/>
    <col min="26" max="16384" width="8.85546875" style="810"/>
  </cols>
  <sheetData>
    <row r="1" spans="1:32" ht="42.75" customHeight="1" x14ac:dyDescent="0.25">
      <c r="A1" s="1757"/>
      <c r="B1" s="1757"/>
      <c r="C1" s="1757"/>
      <c r="D1" s="1758"/>
      <c r="E1" s="1757"/>
      <c r="F1" s="1759"/>
      <c r="G1" s="1757"/>
      <c r="H1" s="1760"/>
      <c r="S1" s="2957" t="s">
        <v>0</v>
      </c>
      <c r="T1" s="2957"/>
      <c r="U1" s="2957"/>
      <c r="V1" s="2957"/>
      <c r="W1" s="2957"/>
      <c r="X1" s="2957"/>
    </row>
    <row r="2" spans="1:32" ht="15.75" x14ac:dyDescent="0.25">
      <c r="A2" s="2958" t="s">
        <v>426</v>
      </c>
      <c r="B2" s="2959"/>
      <c r="C2" s="2959"/>
      <c r="D2" s="2959"/>
      <c r="E2" s="2959"/>
      <c r="F2" s="2959"/>
      <c r="G2" s="2959"/>
      <c r="H2" s="2959"/>
      <c r="I2" s="2959"/>
      <c r="J2" s="2959"/>
      <c r="K2" s="2959"/>
      <c r="L2" s="2959"/>
      <c r="M2" s="2959"/>
      <c r="N2" s="2959"/>
      <c r="O2" s="2959"/>
      <c r="P2" s="2959"/>
      <c r="Q2" s="2959"/>
      <c r="R2" s="2959"/>
      <c r="S2" s="2959"/>
      <c r="T2" s="2959"/>
      <c r="U2" s="2959"/>
      <c r="V2" s="2959"/>
      <c r="W2" s="2959"/>
      <c r="X2" s="2959"/>
    </row>
    <row r="3" spans="1:32" ht="13.5" customHeight="1" thickBot="1" x14ac:dyDescent="0.3">
      <c r="A3" s="2960"/>
      <c r="B3" s="2960"/>
      <c r="C3" s="2960"/>
      <c r="D3" s="2960"/>
      <c r="E3" s="2960"/>
      <c r="F3" s="2960"/>
      <c r="G3" s="2960"/>
      <c r="H3" s="2960"/>
      <c r="K3" s="2961"/>
      <c r="L3" s="2961"/>
      <c r="O3" s="2961"/>
      <c r="P3" s="2961"/>
      <c r="S3" s="2961"/>
      <c r="T3" s="2961"/>
      <c r="W3" s="2962" t="s">
        <v>2</v>
      </c>
      <c r="X3" s="2962"/>
    </row>
    <row r="4" spans="1:32" s="120" customFormat="1" ht="11.25" x14ac:dyDescent="0.2">
      <c r="A4" s="2996" t="s">
        <v>3</v>
      </c>
      <c r="B4" s="2970" t="s">
        <v>4</v>
      </c>
      <c r="C4" s="2996" t="s">
        <v>5</v>
      </c>
      <c r="D4" s="3001" t="s">
        <v>6</v>
      </c>
      <c r="E4" s="2996" t="s">
        <v>7</v>
      </c>
      <c r="F4" s="2996" t="s">
        <v>8</v>
      </c>
      <c r="G4" s="2970" t="s">
        <v>9</v>
      </c>
      <c r="H4" s="2973" t="s">
        <v>10</v>
      </c>
      <c r="I4" s="2977" t="s">
        <v>427</v>
      </c>
      <c r="J4" s="2978"/>
      <c r="K4" s="2978"/>
      <c r="L4" s="2979"/>
      <c r="M4" s="2977" t="s">
        <v>12</v>
      </c>
      <c r="N4" s="2978"/>
      <c r="O4" s="2978"/>
      <c r="P4" s="2979"/>
      <c r="Q4" s="2977" t="s">
        <v>13</v>
      </c>
      <c r="R4" s="2978"/>
      <c r="S4" s="2978"/>
      <c r="T4" s="2979"/>
      <c r="U4" s="2977" t="s">
        <v>14</v>
      </c>
      <c r="V4" s="2978"/>
      <c r="W4" s="2978"/>
      <c r="X4" s="2979"/>
    </row>
    <row r="5" spans="1:32" s="120" customFormat="1" ht="11.25" x14ac:dyDescent="0.2">
      <c r="A5" s="2997"/>
      <c r="B5" s="2971"/>
      <c r="C5" s="2997"/>
      <c r="D5" s="3002"/>
      <c r="E5" s="2997"/>
      <c r="F5" s="2997"/>
      <c r="G5" s="2971"/>
      <c r="H5" s="2974"/>
      <c r="I5" s="2963" t="s">
        <v>15</v>
      </c>
      <c r="J5" s="2965" t="s">
        <v>16</v>
      </c>
      <c r="K5" s="2966"/>
      <c r="L5" s="2967"/>
      <c r="M5" s="2963" t="s">
        <v>15</v>
      </c>
      <c r="N5" s="2965" t="s">
        <v>16</v>
      </c>
      <c r="O5" s="2966"/>
      <c r="P5" s="2967"/>
      <c r="Q5" s="2963" t="s">
        <v>15</v>
      </c>
      <c r="R5" s="2965" t="s">
        <v>16</v>
      </c>
      <c r="S5" s="2966"/>
      <c r="T5" s="2967"/>
      <c r="U5" s="2963" t="s">
        <v>15</v>
      </c>
      <c r="V5" s="2965" t="s">
        <v>16</v>
      </c>
      <c r="W5" s="2966"/>
      <c r="X5" s="2967"/>
    </row>
    <row r="6" spans="1:32" s="120" customFormat="1" ht="11.25" x14ac:dyDescent="0.2">
      <c r="A6" s="2998"/>
      <c r="B6" s="3000"/>
      <c r="C6" s="2998"/>
      <c r="D6" s="3002"/>
      <c r="E6" s="3003"/>
      <c r="F6" s="2998"/>
      <c r="G6" s="2971"/>
      <c r="H6" s="2975"/>
      <c r="I6" s="2964"/>
      <c r="J6" s="1761" t="s">
        <v>17</v>
      </c>
      <c r="K6" s="1761"/>
      <c r="L6" s="2968" t="s">
        <v>18</v>
      </c>
      <c r="M6" s="2964"/>
      <c r="N6" s="1761" t="s">
        <v>17</v>
      </c>
      <c r="O6" s="1761"/>
      <c r="P6" s="2968" t="s">
        <v>18</v>
      </c>
      <c r="Q6" s="2964"/>
      <c r="R6" s="1761" t="s">
        <v>17</v>
      </c>
      <c r="S6" s="1761"/>
      <c r="T6" s="2968" t="s">
        <v>18</v>
      </c>
      <c r="U6" s="2964"/>
      <c r="V6" s="1761" t="s">
        <v>17</v>
      </c>
      <c r="W6" s="1761"/>
      <c r="X6" s="2968" t="s">
        <v>18</v>
      </c>
    </row>
    <row r="7" spans="1:32" s="120" customFormat="1" ht="51" customHeight="1" thickBot="1" x14ac:dyDescent="0.25">
      <c r="A7" s="2999"/>
      <c r="B7" s="3000"/>
      <c r="C7" s="2999"/>
      <c r="D7" s="3002"/>
      <c r="E7" s="3004"/>
      <c r="F7" s="2999"/>
      <c r="G7" s="2972"/>
      <c r="H7" s="2976"/>
      <c r="I7" s="2964"/>
      <c r="J7" s="1762" t="s">
        <v>15</v>
      </c>
      <c r="K7" s="1763" t="s">
        <v>19</v>
      </c>
      <c r="L7" s="2969"/>
      <c r="M7" s="2964"/>
      <c r="N7" s="1762" t="s">
        <v>15</v>
      </c>
      <c r="O7" s="1763" t="s">
        <v>19</v>
      </c>
      <c r="P7" s="2969"/>
      <c r="Q7" s="2964"/>
      <c r="R7" s="1762" t="s">
        <v>15</v>
      </c>
      <c r="S7" s="1763" t="s">
        <v>19</v>
      </c>
      <c r="T7" s="2969"/>
      <c r="U7" s="2964"/>
      <c r="V7" s="1762" t="s">
        <v>15</v>
      </c>
      <c r="W7" s="1763" t="s">
        <v>19</v>
      </c>
      <c r="X7" s="2969"/>
    </row>
    <row r="8" spans="1:32" s="120" customFormat="1" ht="12" thickBot="1" x14ac:dyDescent="0.25">
      <c r="A8" s="2991" t="s">
        <v>428</v>
      </c>
      <c r="B8" s="2991"/>
      <c r="C8" s="2991"/>
      <c r="D8" s="2991"/>
      <c r="E8" s="2991"/>
      <c r="F8" s="2991"/>
      <c r="G8" s="2991"/>
      <c r="H8" s="2991"/>
      <c r="I8" s="2991"/>
      <c r="J8" s="2991"/>
      <c r="K8" s="2991"/>
      <c r="L8" s="2991"/>
      <c r="M8" s="2991"/>
      <c r="N8" s="2991"/>
      <c r="O8" s="2991"/>
      <c r="P8" s="2991"/>
      <c r="Q8" s="2991"/>
      <c r="R8" s="2991"/>
      <c r="S8" s="2991"/>
      <c r="T8" s="2991"/>
      <c r="U8" s="2991"/>
      <c r="V8" s="2991"/>
      <c r="W8" s="2991"/>
      <c r="X8" s="2991"/>
    </row>
    <row r="9" spans="1:32" s="120" customFormat="1" ht="14.25" customHeight="1" thickBot="1" x14ac:dyDescent="0.25">
      <c r="A9" s="2992" t="s">
        <v>429</v>
      </c>
      <c r="B9" s="2992"/>
      <c r="C9" s="2992"/>
      <c r="D9" s="2992"/>
      <c r="E9" s="2992"/>
      <c r="F9" s="2992"/>
      <c r="G9" s="2992"/>
      <c r="H9" s="2992"/>
      <c r="I9" s="2992"/>
      <c r="J9" s="2992"/>
      <c r="K9" s="2992"/>
      <c r="L9" s="2992"/>
      <c r="M9" s="2992"/>
      <c r="N9" s="2992"/>
      <c r="O9" s="2992"/>
      <c r="P9" s="2992"/>
      <c r="Q9" s="2992"/>
      <c r="R9" s="2992"/>
      <c r="S9" s="2992"/>
      <c r="T9" s="2992"/>
      <c r="U9" s="2992"/>
      <c r="V9" s="2992"/>
      <c r="W9" s="2992"/>
      <c r="X9" s="2992"/>
    </row>
    <row r="10" spans="1:32" s="120" customFormat="1" ht="13.5" customHeight="1" thickBot="1" x14ac:dyDescent="0.25">
      <c r="A10" s="1764">
        <v>1</v>
      </c>
      <c r="B10" s="2993" t="s">
        <v>430</v>
      </c>
      <c r="C10" s="2993"/>
      <c r="D10" s="2993"/>
      <c r="E10" s="2993"/>
      <c r="F10" s="2993"/>
      <c r="G10" s="2993"/>
      <c r="H10" s="2993"/>
      <c r="I10" s="2993"/>
      <c r="J10" s="2993"/>
      <c r="K10" s="2993"/>
      <c r="L10" s="2993"/>
      <c r="M10" s="2993"/>
      <c r="N10" s="2993"/>
      <c r="O10" s="2993"/>
      <c r="P10" s="2993"/>
      <c r="Q10" s="2993"/>
      <c r="R10" s="2993"/>
      <c r="S10" s="2993"/>
      <c r="T10" s="2993"/>
      <c r="U10" s="2993"/>
      <c r="V10" s="2993"/>
      <c r="W10" s="2993"/>
      <c r="X10" s="2993"/>
    </row>
    <row r="11" spans="1:32" s="120" customFormat="1" ht="13.5" customHeight="1" thickBot="1" x14ac:dyDescent="0.25">
      <c r="A11" s="1765">
        <v>1</v>
      </c>
      <c r="B11" s="1766">
        <v>1</v>
      </c>
      <c r="C11" s="2994" t="s">
        <v>431</v>
      </c>
      <c r="D11" s="2994"/>
      <c r="E11" s="2994"/>
      <c r="F11" s="2994"/>
      <c r="G11" s="2994"/>
      <c r="H11" s="2994"/>
      <c r="I11" s="2994"/>
      <c r="J11" s="2994"/>
      <c r="K11" s="2994"/>
      <c r="L11" s="2994"/>
      <c r="M11" s="2994"/>
      <c r="N11" s="2994"/>
      <c r="O11" s="2994"/>
      <c r="P11" s="2994"/>
      <c r="Q11" s="2994"/>
      <c r="R11" s="2994"/>
      <c r="S11" s="2994"/>
      <c r="T11" s="2994"/>
      <c r="U11" s="2994"/>
      <c r="V11" s="2994"/>
      <c r="W11" s="2994"/>
      <c r="X11" s="2994"/>
    </row>
    <row r="12" spans="1:32" s="120" customFormat="1" ht="33.75" customHeight="1" thickBot="1" x14ac:dyDescent="0.25">
      <c r="A12" s="2980">
        <v>1</v>
      </c>
      <c r="B12" s="2982">
        <v>1</v>
      </c>
      <c r="C12" s="2995">
        <v>1</v>
      </c>
      <c r="D12" s="2985" t="s">
        <v>432</v>
      </c>
      <c r="E12" s="2986" t="s">
        <v>433</v>
      </c>
      <c r="F12" s="1767" t="s">
        <v>434</v>
      </c>
      <c r="G12" s="1760" t="s">
        <v>435</v>
      </c>
      <c r="H12" s="1768" t="s">
        <v>30</v>
      </c>
      <c r="I12" s="1769">
        <v>13.9</v>
      </c>
      <c r="J12" s="1770">
        <v>13.9</v>
      </c>
      <c r="K12" s="1770">
        <v>13.6</v>
      </c>
      <c r="L12" s="1771"/>
      <c r="M12" s="1769">
        <v>16.600000000000001</v>
      </c>
      <c r="N12" s="1770">
        <v>16.600000000000001</v>
      </c>
      <c r="O12" s="1770">
        <v>16.3</v>
      </c>
      <c r="P12" s="1771"/>
      <c r="Q12" s="1769">
        <v>16.600000000000001</v>
      </c>
      <c r="R12" s="1770">
        <v>16.600000000000001</v>
      </c>
      <c r="S12" s="1770">
        <v>16.3</v>
      </c>
      <c r="T12" s="1771"/>
      <c r="U12" s="1769">
        <v>16.600000000000001</v>
      </c>
      <c r="V12" s="1770">
        <v>16.600000000000001</v>
      </c>
      <c r="W12" s="1770">
        <v>16.3</v>
      </c>
      <c r="X12" s="1771">
        <v>0</v>
      </c>
      <c r="Y12" s="1772"/>
    </row>
    <row r="13" spans="1:32" s="121" customFormat="1" ht="26.65" customHeight="1" thickBot="1" x14ac:dyDescent="0.25">
      <c r="A13" s="2981"/>
      <c r="B13" s="2983"/>
      <c r="C13" s="2984"/>
      <c r="D13" s="2985"/>
      <c r="E13" s="2987"/>
      <c r="F13" s="2988" t="s">
        <v>436</v>
      </c>
      <c r="G13" s="2989"/>
      <c r="H13" s="2990"/>
      <c r="I13" s="1773">
        <f>SUM(I12)</f>
        <v>13.9</v>
      </c>
      <c r="J13" s="1774">
        <f t="shared" ref="J13:X13" si="0">SUM(J12)</f>
        <v>13.9</v>
      </c>
      <c r="K13" s="1774">
        <f t="shared" si="0"/>
        <v>13.6</v>
      </c>
      <c r="L13" s="1774">
        <f t="shared" si="0"/>
        <v>0</v>
      </c>
      <c r="M13" s="1773">
        <f t="shared" si="0"/>
        <v>16.600000000000001</v>
      </c>
      <c r="N13" s="1774">
        <f t="shared" si="0"/>
        <v>16.600000000000001</v>
      </c>
      <c r="O13" s="1774">
        <f t="shared" si="0"/>
        <v>16.3</v>
      </c>
      <c r="P13" s="1774">
        <f t="shared" si="0"/>
        <v>0</v>
      </c>
      <c r="Q13" s="1773">
        <f t="shared" si="0"/>
        <v>16.600000000000001</v>
      </c>
      <c r="R13" s="1774">
        <f t="shared" si="0"/>
        <v>16.600000000000001</v>
      </c>
      <c r="S13" s="1774">
        <f t="shared" si="0"/>
        <v>16.3</v>
      </c>
      <c r="T13" s="1774">
        <f t="shared" si="0"/>
        <v>0</v>
      </c>
      <c r="U13" s="1773">
        <f t="shared" si="0"/>
        <v>16.600000000000001</v>
      </c>
      <c r="V13" s="1774">
        <f t="shared" si="0"/>
        <v>16.600000000000001</v>
      </c>
      <c r="W13" s="1774">
        <f t="shared" si="0"/>
        <v>16.3</v>
      </c>
      <c r="X13" s="1775">
        <f t="shared" si="0"/>
        <v>0</v>
      </c>
      <c r="Y13" s="120"/>
      <c r="Z13" s="120"/>
      <c r="AA13" s="120"/>
      <c r="AB13" s="120"/>
      <c r="AC13" s="120"/>
      <c r="AD13" s="120"/>
      <c r="AE13" s="120"/>
      <c r="AF13" s="120"/>
    </row>
    <row r="14" spans="1:32" s="120" customFormat="1" ht="33.75" customHeight="1" thickBot="1" x14ac:dyDescent="0.25">
      <c r="A14" s="2980">
        <v>1</v>
      </c>
      <c r="B14" s="2982">
        <v>1</v>
      </c>
      <c r="C14" s="2984">
        <v>2</v>
      </c>
      <c r="D14" s="2985" t="s">
        <v>437</v>
      </c>
      <c r="E14" s="2986" t="s">
        <v>588</v>
      </c>
      <c r="F14" s="1776" t="s">
        <v>434</v>
      </c>
      <c r="G14" s="1760" t="s">
        <v>438</v>
      </c>
      <c r="H14" s="1777" t="s">
        <v>31</v>
      </c>
      <c r="I14" s="1769">
        <v>184.4</v>
      </c>
      <c r="J14" s="1770">
        <v>184.4</v>
      </c>
      <c r="K14" s="1770">
        <v>181.5</v>
      </c>
      <c r="L14" s="1771"/>
      <c r="M14" s="1769"/>
      <c r="N14" s="1770"/>
      <c r="O14" s="1770"/>
      <c r="P14" s="1771"/>
      <c r="Q14" s="1769"/>
      <c r="R14" s="1770"/>
      <c r="S14" s="1770"/>
      <c r="T14" s="1771"/>
      <c r="U14" s="1769"/>
      <c r="V14" s="1770"/>
      <c r="W14" s="1770"/>
      <c r="X14" s="1771"/>
      <c r="Y14" s="1772"/>
    </row>
    <row r="15" spans="1:32" s="121" customFormat="1" ht="26.65" customHeight="1" thickBot="1" x14ac:dyDescent="0.25">
      <c r="A15" s="2981"/>
      <c r="B15" s="2983"/>
      <c r="C15" s="2984"/>
      <c r="D15" s="2985"/>
      <c r="E15" s="2987"/>
      <c r="F15" s="2988" t="s">
        <v>436</v>
      </c>
      <c r="G15" s="2989"/>
      <c r="H15" s="2990"/>
      <c r="I15" s="1773">
        <f>I14</f>
        <v>184.4</v>
      </c>
      <c r="J15" s="1774">
        <f t="shared" ref="J15:X15" si="1">J14</f>
        <v>184.4</v>
      </c>
      <c r="K15" s="1774">
        <f t="shared" si="1"/>
        <v>181.5</v>
      </c>
      <c r="L15" s="1774">
        <f t="shared" si="1"/>
        <v>0</v>
      </c>
      <c r="M15" s="1773">
        <f t="shared" si="1"/>
        <v>0</v>
      </c>
      <c r="N15" s="1774">
        <f t="shared" si="1"/>
        <v>0</v>
      </c>
      <c r="O15" s="1774">
        <f t="shared" si="1"/>
        <v>0</v>
      </c>
      <c r="P15" s="1774">
        <f t="shared" si="1"/>
        <v>0</v>
      </c>
      <c r="Q15" s="1773">
        <f t="shared" si="1"/>
        <v>0</v>
      </c>
      <c r="R15" s="1774">
        <f t="shared" si="1"/>
        <v>0</v>
      </c>
      <c r="S15" s="1774">
        <f t="shared" si="1"/>
        <v>0</v>
      </c>
      <c r="T15" s="1774">
        <f t="shared" si="1"/>
        <v>0</v>
      </c>
      <c r="U15" s="1773">
        <f t="shared" si="1"/>
        <v>0</v>
      </c>
      <c r="V15" s="1774">
        <f t="shared" si="1"/>
        <v>0</v>
      </c>
      <c r="W15" s="1774">
        <f t="shared" si="1"/>
        <v>0</v>
      </c>
      <c r="X15" s="1775">
        <f t="shared" si="1"/>
        <v>0</v>
      </c>
      <c r="Y15" s="120"/>
      <c r="Z15" s="120"/>
      <c r="AA15" s="120"/>
      <c r="AB15" s="120"/>
      <c r="AC15" s="120"/>
      <c r="AD15" s="120"/>
      <c r="AE15" s="120"/>
      <c r="AF15" s="120"/>
    </row>
    <row r="16" spans="1:32" s="337" customFormat="1" ht="33.75" customHeight="1" x14ac:dyDescent="0.2">
      <c r="A16" s="1778"/>
      <c r="B16" s="1779"/>
      <c r="C16" s="3005">
        <v>3</v>
      </c>
      <c r="D16" s="3007" t="s">
        <v>439</v>
      </c>
      <c r="E16" s="1780" t="s">
        <v>440</v>
      </c>
      <c r="F16" s="1781" t="s">
        <v>434</v>
      </c>
      <c r="G16" s="1947" t="s">
        <v>441</v>
      </c>
      <c r="H16" s="1543" t="s">
        <v>31</v>
      </c>
      <c r="I16" s="1782">
        <f>J16+P16</f>
        <v>26.299999999999994</v>
      </c>
      <c r="J16" s="66">
        <f>4.3+15.9+6.1+25.3-25.3</f>
        <v>26.299999999999994</v>
      </c>
      <c r="K16" s="66">
        <f>4.2+15.6+6.1+24.9-24.9</f>
        <v>25.9</v>
      </c>
      <c r="L16" s="56"/>
      <c r="M16" s="1783"/>
      <c r="N16" s="1784"/>
      <c r="O16" s="1784"/>
      <c r="P16" s="56"/>
      <c r="Q16" s="1782"/>
      <c r="R16" s="66"/>
      <c r="S16" s="66"/>
      <c r="T16" s="56"/>
      <c r="U16" s="1782"/>
      <c r="V16" s="66"/>
      <c r="W16" s="66"/>
      <c r="X16" s="56"/>
      <c r="Y16" s="3010"/>
      <c r="Z16" s="3011"/>
    </row>
    <row r="17" spans="1:32" s="120" customFormat="1" ht="33.75" customHeight="1" thickBot="1" x14ac:dyDescent="0.25">
      <c r="A17" s="1785">
        <v>1</v>
      </c>
      <c r="B17" s="1786">
        <v>1</v>
      </c>
      <c r="C17" s="3006"/>
      <c r="D17" s="3008"/>
      <c r="E17" s="3012" t="s">
        <v>588</v>
      </c>
      <c r="F17" s="1787" t="s">
        <v>434</v>
      </c>
      <c r="G17" s="1954" t="s">
        <v>441</v>
      </c>
      <c r="H17" s="1777" t="s">
        <v>31</v>
      </c>
      <c r="I17" s="1788">
        <v>154.1</v>
      </c>
      <c r="J17" s="1789">
        <v>154.1</v>
      </c>
      <c r="K17" s="1789">
        <v>151.5</v>
      </c>
      <c r="L17" s="1790"/>
      <c r="M17" s="1788"/>
      <c r="N17" s="1789"/>
      <c r="O17" s="1789"/>
      <c r="P17" s="1790"/>
      <c r="Q17" s="1791"/>
      <c r="R17" s="1792"/>
      <c r="S17" s="1792"/>
      <c r="T17" s="1793"/>
      <c r="U17" s="1769"/>
      <c r="V17" s="1770"/>
      <c r="W17" s="1770"/>
      <c r="X17" s="1771"/>
      <c r="Y17" s="1772"/>
    </row>
    <row r="18" spans="1:32" s="121" customFormat="1" ht="26.65" customHeight="1" thickBot="1" x14ac:dyDescent="0.25">
      <c r="A18" s="1794"/>
      <c r="B18" s="1795"/>
      <c r="C18" s="2995"/>
      <c r="D18" s="3009"/>
      <c r="E18" s="3013"/>
      <c r="F18" s="2988" t="s">
        <v>436</v>
      </c>
      <c r="G18" s="2989"/>
      <c r="H18" s="2989"/>
      <c r="I18" s="1774">
        <f>SUM(I16:I17)</f>
        <v>180.39999999999998</v>
      </c>
      <c r="J18" s="1774">
        <f t="shared" ref="J18:X18" si="2">SUM(J16:J17)</f>
        <v>180.39999999999998</v>
      </c>
      <c r="K18" s="1774">
        <f t="shared" si="2"/>
        <v>177.4</v>
      </c>
      <c r="L18" s="1774">
        <f t="shared" si="2"/>
        <v>0</v>
      </c>
      <c r="M18" s="1774">
        <f t="shared" si="2"/>
        <v>0</v>
      </c>
      <c r="N18" s="1774">
        <f t="shared" si="2"/>
        <v>0</v>
      </c>
      <c r="O18" s="1774">
        <f t="shared" si="2"/>
        <v>0</v>
      </c>
      <c r="P18" s="1774">
        <f t="shared" si="2"/>
        <v>0</v>
      </c>
      <c r="Q18" s="1774">
        <f t="shared" si="2"/>
        <v>0</v>
      </c>
      <c r="R18" s="1774">
        <f t="shared" si="2"/>
        <v>0</v>
      </c>
      <c r="S18" s="1774">
        <f t="shared" si="2"/>
        <v>0</v>
      </c>
      <c r="T18" s="1774">
        <f t="shared" si="2"/>
        <v>0</v>
      </c>
      <c r="U18" s="1774">
        <f t="shared" si="2"/>
        <v>0</v>
      </c>
      <c r="V18" s="1774">
        <f t="shared" si="2"/>
        <v>0</v>
      </c>
      <c r="W18" s="1774">
        <f t="shared" si="2"/>
        <v>0</v>
      </c>
      <c r="X18" s="1775">
        <f t="shared" si="2"/>
        <v>0</v>
      </c>
      <c r="Y18" s="120"/>
      <c r="Z18" s="120"/>
      <c r="AA18" s="120"/>
      <c r="AB18" s="120"/>
      <c r="AC18" s="120"/>
      <c r="AD18" s="120"/>
      <c r="AE18" s="120"/>
      <c r="AF18" s="120"/>
    </row>
    <row r="19" spans="1:32" s="120" customFormat="1" ht="33.75" customHeight="1" thickBot="1" x14ac:dyDescent="0.25">
      <c r="A19" s="2980">
        <v>1</v>
      </c>
      <c r="B19" s="2982">
        <v>1</v>
      </c>
      <c r="C19" s="2995">
        <v>4</v>
      </c>
      <c r="D19" s="3014" t="s">
        <v>442</v>
      </c>
      <c r="E19" s="2987" t="s">
        <v>588</v>
      </c>
      <c r="F19" s="1985" t="s">
        <v>443</v>
      </c>
      <c r="G19" s="1985" t="s">
        <v>444</v>
      </c>
      <c r="H19" s="1986" t="s">
        <v>31</v>
      </c>
      <c r="I19" s="1813">
        <v>121.4</v>
      </c>
      <c r="J19" s="1808">
        <v>121.4</v>
      </c>
      <c r="K19" s="1808"/>
      <c r="L19" s="1809"/>
      <c r="M19" s="1813"/>
      <c r="N19" s="1808"/>
      <c r="O19" s="1808"/>
      <c r="P19" s="1809"/>
      <c r="Q19" s="1813"/>
      <c r="R19" s="1808"/>
      <c r="S19" s="1808"/>
      <c r="T19" s="1809"/>
      <c r="U19" s="1813"/>
      <c r="V19" s="1808"/>
      <c r="W19" s="1808"/>
      <c r="X19" s="1809"/>
      <c r="Y19" s="1772"/>
    </row>
    <row r="20" spans="1:32" s="121" customFormat="1" ht="26.65" customHeight="1" thickBot="1" x14ac:dyDescent="0.25">
      <c r="A20" s="2981"/>
      <c r="B20" s="2983"/>
      <c r="C20" s="2984"/>
      <c r="D20" s="3014"/>
      <c r="E20" s="2987"/>
      <c r="F20" s="2988" t="s">
        <v>436</v>
      </c>
      <c r="G20" s="2989"/>
      <c r="H20" s="2990"/>
      <c r="I20" s="1773">
        <f>I19</f>
        <v>121.4</v>
      </c>
      <c r="J20" s="1774">
        <f>J19</f>
        <v>121.4</v>
      </c>
      <c r="K20" s="1774">
        <f>K19</f>
        <v>0</v>
      </c>
      <c r="L20" s="1774">
        <f>L19</f>
        <v>0</v>
      </c>
      <c r="M20" s="1774">
        <f>SUM(M19:M19)</f>
        <v>0</v>
      </c>
      <c r="N20" s="1774">
        <f>SUM(N19:N19)</f>
        <v>0</v>
      </c>
      <c r="O20" s="1774">
        <f>SUM(O19:O19)</f>
        <v>0</v>
      </c>
      <c r="P20" s="1774">
        <f>SUM(P19:P19)</f>
        <v>0</v>
      </c>
      <c r="Q20" s="1773">
        <f t="shared" ref="Q20:X20" si="3">Q19</f>
        <v>0</v>
      </c>
      <c r="R20" s="1774">
        <f t="shared" si="3"/>
        <v>0</v>
      </c>
      <c r="S20" s="1774">
        <f t="shared" si="3"/>
        <v>0</v>
      </c>
      <c r="T20" s="1774">
        <f t="shared" si="3"/>
        <v>0</v>
      </c>
      <c r="U20" s="1773">
        <f t="shared" si="3"/>
        <v>0</v>
      </c>
      <c r="V20" s="1774">
        <f t="shared" si="3"/>
        <v>0</v>
      </c>
      <c r="W20" s="1774">
        <f t="shared" si="3"/>
        <v>0</v>
      </c>
      <c r="X20" s="1775">
        <f t="shared" si="3"/>
        <v>0</v>
      </c>
      <c r="Y20" s="120"/>
      <c r="Z20" s="120"/>
      <c r="AA20" s="120"/>
      <c r="AB20" s="120"/>
      <c r="AC20" s="120"/>
      <c r="AD20" s="120"/>
      <c r="AE20" s="120"/>
      <c r="AF20" s="120"/>
    </row>
    <row r="21" spans="1:32" s="120" customFormat="1" ht="33.75" customHeight="1" thickBot="1" x14ac:dyDescent="0.25">
      <c r="A21" s="2980">
        <v>1</v>
      </c>
      <c r="B21" s="2982">
        <v>1</v>
      </c>
      <c r="C21" s="2995">
        <v>5</v>
      </c>
      <c r="D21" s="2985" t="s">
        <v>445</v>
      </c>
      <c r="E21" s="2986" t="s">
        <v>588</v>
      </c>
      <c r="F21" s="1776" t="s">
        <v>443</v>
      </c>
      <c r="G21" s="2045" t="s">
        <v>444</v>
      </c>
      <c r="H21" s="1777" t="s">
        <v>30</v>
      </c>
      <c r="I21" s="1769">
        <v>4.5999999999999996</v>
      </c>
      <c r="J21" s="1770">
        <v>4.5999999999999996</v>
      </c>
      <c r="K21" s="1770"/>
      <c r="L21" s="1771"/>
      <c r="M21" s="1769"/>
      <c r="N21" s="1770"/>
      <c r="O21" s="1770"/>
      <c r="P21" s="1771"/>
      <c r="Q21" s="1769"/>
      <c r="R21" s="1770"/>
      <c r="S21" s="1770"/>
      <c r="T21" s="1771"/>
      <c r="U21" s="1769"/>
      <c r="V21" s="1770"/>
      <c r="W21" s="1770"/>
      <c r="X21" s="1771"/>
      <c r="Y21" s="1772"/>
    </row>
    <row r="22" spans="1:32" s="121" customFormat="1" ht="26.65" customHeight="1" thickBot="1" x14ac:dyDescent="0.25">
      <c r="A22" s="2981"/>
      <c r="B22" s="2983"/>
      <c r="C22" s="2984"/>
      <c r="D22" s="2985"/>
      <c r="E22" s="2987"/>
      <c r="F22" s="2988" t="s">
        <v>436</v>
      </c>
      <c r="G22" s="2989"/>
      <c r="H22" s="2990"/>
      <c r="I22" s="1773">
        <f>I21</f>
        <v>4.5999999999999996</v>
      </c>
      <c r="J22" s="1774">
        <f t="shared" ref="J22:X24" si="4">J21</f>
        <v>4.5999999999999996</v>
      </c>
      <c r="K22" s="1774">
        <f t="shared" si="4"/>
        <v>0</v>
      </c>
      <c r="L22" s="1774">
        <f t="shared" si="4"/>
        <v>0</v>
      </c>
      <c r="M22" s="1773">
        <f t="shared" si="4"/>
        <v>0</v>
      </c>
      <c r="N22" s="1774">
        <f t="shared" si="4"/>
        <v>0</v>
      </c>
      <c r="O22" s="1774">
        <f t="shared" si="4"/>
        <v>0</v>
      </c>
      <c r="P22" s="1774">
        <f t="shared" si="4"/>
        <v>0</v>
      </c>
      <c r="Q22" s="1773">
        <f t="shared" si="4"/>
        <v>0</v>
      </c>
      <c r="R22" s="1774">
        <f t="shared" si="4"/>
        <v>0</v>
      </c>
      <c r="S22" s="1774">
        <f t="shared" si="4"/>
        <v>0</v>
      </c>
      <c r="T22" s="1774">
        <f t="shared" si="4"/>
        <v>0</v>
      </c>
      <c r="U22" s="1773">
        <f t="shared" si="4"/>
        <v>0</v>
      </c>
      <c r="V22" s="1774">
        <f t="shared" si="4"/>
        <v>0</v>
      </c>
      <c r="W22" s="1774">
        <f t="shared" si="4"/>
        <v>0</v>
      </c>
      <c r="X22" s="1775">
        <f t="shared" si="4"/>
        <v>0</v>
      </c>
      <c r="Y22" s="120"/>
      <c r="Z22" s="120"/>
      <c r="AA22" s="120"/>
      <c r="AB22" s="120"/>
      <c r="AC22" s="120"/>
      <c r="AD22" s="120"/>
      <c r="AE22" s="120"/>
      <c r="AF22" s="120"/>
    </row>
    <row r="23" spans="1:32" s="121" customFormat="1" ht="32.25" customHeight="1" thickBot="1" x14ac:dyDescent="0.25">
      <c r="A23" s="3015">
        <v>1</v>
      </c>
      <c r="B23" s="3017">
        <v>1</v>
      </c>
      <c r="C23" s="3019">
        <v>6</v>
      </c>
      <c r="D23" s="3021" t="s">
        <v>446</v>
      </c>
      <c r="E23" s="3019">
        <v>7</v>
      </c>
      <c r="F23" s="1963" t="s">
        <v>443</v>
      </c>
      <c r="G23" s="1964" t="s">
        <v>1336</v>
      </c>
      <c r="H23" s="1965" t="s">
        <v>31</v>
      </c>
      <c r="I23" s="1966"/>
      <c r="J23" s="1963"/>
      <c r="K23" s="1963" t="s">
        <v>425</v>
      </c>
      <c r="L23" s="1967" t="s">
        <v>425</v>
      </c>
      <c r="M23" s="1963">
        <v>124</v>
      </c>
      <c r="N23" s="1963">
        <v>124</v>
      </c>
      <c r="O23" s="1963" t="s">
        <v>425</v>
      </c>
      <c r="P23" s="1967" t="s">
        <v>425</v>
      </c>
      <c r="Q23" s="1963" t="s">
        <v>425</v>
      </c>
      <c r="R23" s="1963" t="s">
        <v>425</v>
      </c>
      <c r="S23" s="1963" t="s">
        <v>425</v>
      </c>
      <c r="T23" s="1967" t="s">
        <v>425</v>
      </c>
      <c r="U23" s="1963" t="s">
        <v>425</v>
      </c>
      <c r="V23" s="1963" t="s">
        <v>425</v>
      </c>
      <c r="W23" s="1963" t="s">
        <v>425</v>
      </c>
      <c r="X23" s="1967" t="s">
        <v>425</v>
      </c>
      <c r="Y23" s="1"/>
      <c r="Z23" s="1"/>
      <c r="AA23" s="1"/>
      <c r="AB23" s="1"/>
      <c r="AC23" s="1"/>
      <c r="AD23" s="1"/>
      <c r="AE23" s="1"/>
      <c r="AF23" s="1"/>
    </row>
    <row r="24" spans="1:32" s="121" customFormat="1" ht="32.25" customHeight="1" thickBot="1" x14ac:dyDescent="0.25">
      <c r="A24" s="3016"/>
      <c r="B24" s="3018"/>
      <c r="C24" s="3020"/>
      <c r="D24" s="3022"/>
      <c r="E24" s="3020"/>
      <c r="F24" s="3023" t="s">
        <v>436</v>
      </c>
      <c r="G24" s="3024"/>
      <c r="H24" s="3025"/>
      <c r="I24" s="1773">
        <f>I23</f>
        <v>0</v>
      </c>
      <c r="J24" s="1774">
        <f t="shared" si="4"/>
        <v>0</v>
      </c>
      <c r="K24" s="1774" t="str">
        <f t="shared" si="4"/>
        <v> </v>
      </c>
      <c r="L24" s="1774" t="str">
        <f t="shared" si="4"/>
        <v> </v>
      </c>
      <c r="M24" s="1773">
        <f>M23</f>
        <v>124</v>
      </c>
      <c r="N24" s="1774">
        <f t="shared" si="4"/>
        <v>124</v>
      </c>
      <c r="O24" s="1774" t="str">
        <f t="shared" si="4"/>
        <v> </v>
      </c>
      <c r="P24" s="1774" t="str">
        <f t="shared" si="4"/>
        <v> </v>
      </c>
      <c r="Q24" s="1773" t="str">
        <f>Q23</f>
        <v> </v>
      </c>
      <c r="R24" s="1774" t="str">
        <f t="shared" si="4"/>
        <v> </v>
      </c>
      <c r="S24" s="1774" t="str">
        <f t="shared" si="4"/>
        <v> </v>
      </c>
      <c r="T24" s="1774" t="str">
        <f t="shared" si="4"/>
        <v> </v>
      </c>
      <c r="U24" s="1773" t="str">
        <f>U23</f>
        <v> </v>
      </c>
      <c r="V24" s="1774" t="str">
        <f t="shared" si="4"/>
        <v> </v>
      </c>
      <c r="W24" s="1774" t="str">
        <f t="shared" si="4"/>
        <v> </v>
      </c>
      <c r="X24" s="1774" t="str">
        <f t="shared" si="4"/>
        <v> </v>
      </c>
      <c r="Y24" s="1"/>
      <c r="Z24" s="1"/>
      <c r="AA24" s="1"/>
      <c r="AB24" s="1"/>
      <c r="AC24" s="1"/>
      <c r="AD24" s="1"/>
      <c r="AE24" s="1"/>
      <c r="AF24" s="1"/>
    </row>
    <row r="25" spans="1:32" s="122" customFormat="1" ht="13.5" customHeight="1" thickBot="1" x14ac:dyDescent="0.25">
      <c r="A25" s="1796">
        <v>1</v>
      </c>
      <c r="B25" s="1797">
        <v>1</v>
      </c>
      <c r="C25" s="3032" t="s">
        <v>234</v>
      </c>
      <c r="D25" s="3033"/>
      <c r="E25" s="3033"/>
      <c r="F25" s="3033"/>
      <c r="G25" s="3033"/>
      <c r="H25" s="3034"/>
      <c r="I25" s="1798">
        <f>L25+J25</f>
        <v>504.69999999999993</v>
      </c>
      <c r="J25" s="1798">
        <f>SUM(J22,J20,J18,J15,J13,J24)</f>
        <v>504.69999999999993</v>
      </c>
      <c r="K25" s="1798">
        <f>SUM(K22,K20,K18,K15,K13,K24)</f>
        <v>372.5</v>
      </c>
      <c r="L25" s="1798">
        <f>SUM(L22,L20,L18,L15,L13,L24)</f>
        <v>0</v>
      </c>
      <c r="M25" s="1798">
        <f>P25+N25</f>
        <v>140.6</v>
      </c>
      <c r="N25" s="1798">
        <f>SUM(N22,N20,N18,N15,N13,N24)</f>
        <v>140.6</v>
      </c>
      <c r="O25" s="1798">
        <f>SUM(O22,O20,O18,O15,O13,O24)</f>
        <v>16.3</v>
      </c>
      <c r="P25" s="1798">
        <f>SUM(P22,P20,P18,P15,P13,P24)</f>
        <v>0</v>
      </c>
      <c r="Q25" s="1798">
        <f>T25+R25</f>
        <v>16.600000000000001</v>
      </c>
      <c r="R25" s="1798">
        <f>SUM(R22,R20,R18,R15,R13,R24)</f>
        <v>16.600000000000001</v>
      </c>
      <c r="S25" s="1798">
        <f>SUM(S22,S20,S18,S15,S13,S24)</f>
        <v>16.3</v>
      </c>
      <c r="T25" s="1798">
        <f>SUM(T22,T20,T18,T15,T13,T24)</f>
        <v>0</v>
      </c>
      <c r="U25" s="1798">
        <f>X25+V25</f>
        <v>16.600000000000001</v>
      </c>
      <c r="V25" s="1798">
        <f>SUM(V22,V20,V18,V15,V13,V24)</f>
        <v>16.600000000000001</v>
      </c>
      <c r="W25" s="1798">
        <f>SUM(W22,W20,W18,W15,W13,W24)</f>
        <v>16.3</v>
      </c>
      <c r="X25" s="1798">
        <f>SUM(X22,X20,X18,X15,X13,X24)</f>
        <v>0</v>
      </c>
      <c r="Y25" s="120">
        <f>SUM(Y13,Y15,Y18,Y22)</f>
        <v>0</v>
      </c>
      <c r="Z25" s="120"/>
      <c r="AA25" s="120"/>
      <c r="AB25" s="120"/>
      <c r="AC25" s="120"/>
      <c r="AD25" s="120"/>
      <c r="AE25" s="120"/>
      <c r="AF25" s="120"/>
    </row>
    <row r="26" spans="1:32" s="122" customFormat="1" ht="13.5" customHeight="1" thickBot="1" x14ac:dyDescent="0.25">
      <c r="A26" s="1796">
        <v>1</v>
      </c>
      <c r="B26" s="1797">
        <v>2</v>
      </c>
      <c r="C26" s="3035" t="s">
        <v>447</v>
      </c>
      <c r="D26" s="3036"/>
      <c r="E26" s="3036"/>
      <c r="F26" s="3036"/>
      <c r="G26" s="3036"/>
      <c r="H26" s="3036"/>
      <c r="I26" s="3036"/>
      <c r="J26" s="3036"/>
      <c r="K26" s="3036"/>
      <c r="L26" s="3036"/>
      <c r="M26" s="3036"/>
      <c r="N26" s="3036"/>
      <c r="O26" s="3036"/>
      <c r="P26" s="3036"/>
      <c r="Q26" s="3036"/>
      <c r="R26" s="3036"/>
      <c r="S26" s="3036"/>
      <c r="T26" s="3036"/>
      <c r="U26" s="3036"/>
      <c r="V26" s="3036"/>
      <c r="W26" s="3036"/>
      <c r="X26" s="3037"/>
      <c r="Y26" s="120"/>
      <c r="Z26" s="120"/>
      <c r="AA26" s="120"/>
      <c r="AB26" s="120"/>
      <c r="AC26" s="120"/>
      <c r="AD26" s="120"/>
      <c r="AE26" s="120"/>
      <c r="AF26" s="120"/>
    </row>
    <row r="27" spans="1:32" s="120" customFormat="1" ht="16.5" customHeight="1" x14ac:dyDescent="0.2">
      <c r="A27" s="2980">
        <v>1</v>
      </c>
      <c r="B27" s="3038">
        <v>2</v>
      </c>
      <c r="C27" s="3006">
        <v>1</v>
      </c>
      <c r="D27" s="3009" t="s">
        <v>448</v>
      </c>
      <c r="E27" s="3039" t="s">
        <v>440</v>
      </c>
      <c r="F27" s="3006" t="s">
        <v>443</v>
      </c>
      <c r="G27" s="3006" t="s">
        <v>449</v>
      </c>
      <c r="H27" s="1800" t="s">
        <v>30</v>
      </c>
      <c r="I27" s="1801">
        <f>J27+L27</f>
        <v>149.89999999999998</v>
      </c>
      <c r="J27" s="1802">
        <f>123.3+6.7+7.2</f>
        <v>137.19999999999999</v>
      </c>
      <c r="K27" s="1802">
        <f>111+6.7+7.2</f>
        <v>124.9</v>
      </c>
      <c r="L27" s="1803">
        <v>12.7</v>
      </c>
      <c r="M27" s="1801">
        <v>178.5</v>
      </c>
      <c r="N27" s="1802">
        <v>178.5</v>
      </c>
      <c r="O27" s="1802">
        <v>165.2</v>
      </c>
      <c r="P27" s="1803"/>
      <c r="Q27" s="1801">
        <v>187.6</v>
      </c>
      <c r="R27" s="1802">
        <v>187.6</v>
      </c>
      <c r="S27" s="1802">
        <v>156.4</v>
      </c>
      <c r="T27" s="1803"/>
      <c r="U27" s="1801">
        <v>187.6</v>
      </c>
      <c r="V27" s="1802">
        <v>187.6</v>
      </c>
      <c r="W27" s="1802">
        <v>156.4</v>
      </c>
      <c r="X27" s="1803"/>
      <c r="Y27" s="3026"/>
    </row>
    <row r="28" spans="1:32" s="120" customFormat="1" ht="18.75" customHeight="1" thickBot="1" x14ac:dyDescent="0.25">
      <c r="A28" s="2980"/>
      <c r="B28" s="3038"/>
      <c r="C28" s="3006"/>
      <c r="D28" s="2985"/>
      <c r="E28" s="3039"/>
      <c r="F28" s="3040"/>
      <c r="G28" s="3041"/>
      <c r="H28" s="1804" t="s">
        <v>33</v>
      </c>
      <c r="I28" s="1801">
        <v>450.1</v>
      </c>
      <c r="J28" s="1802">
        <v>450.1</v>
      </c>
      <c r="K28" s="1802">
        <v>399</v>
      </c>
      <c r="L28" s="1771"/>
      <c r="M28" s="1801">
        <v>545.29999999999995</v>
      </c>
      <c r="N28" s="1802">
        <v>545.29999999999995</v>
      </c>
      <c r="O28" s="1802">
        <f>172.6+315.3</f>
        <v>487.9</v>
      </c>
      <c r="P28" s="1771"/>
      <c r="Q28" s="1801">
        <f>T28+R28</f>
        <v>545.30000000000007</v>
      </c>
      <c r="R28" s="1802">
        <f>97.7+447.6</f>
        <v>545.30000000000007</v>
      </c>
      <c r="S28" s="1802">
        <v>447.6</v>
      </c>
      <c r="T28" s="1771"/>
      <c r="U28" s="1801">
        <v>545.29999999999995</v>
      </c>
      <c r="V28" s="1802">
        <v>545.29999999999995</v>
      </c>
      <c r="W28" s="1802">
        <v>447.6</v>
      </c>
      <c r="X28" s="1805"/>
      <c r="Y28" s="3026"/>
    </row>
    <row r="29" spans="1:32" s="121" customFormat="1" ht="40.5" customHeight="1" thickBot="1" x14ac:dyDescent="0.25">
      <c r="A29" s="2981"/>
      <c r="B29" s="2982"/>
      <c r="C29" s="2995"/>
      <c r="D29" s="2985"/>
      <c r="E29" s="3013"/>
      <c r="F29" s="2988" t="s">
        <v>436</v>
      </c>
      <c r="G29" s="2989"/>
      <c r="H29" s="2990"/>
      <c r="I29" s="1806">
        <f>SUM(I27:I28)</f>
        <v>600</v>
      </c>
      <c r="J29" s="1774">
        <f t="shared" ref="J29:X29" si="5">SUM(J27:J28)</f>
        <v>587.29999999999995</v>
      </c>
      <c r="K29" s="1774">
        <f t="shared" si="5"/>
        <v>523.9</v>
      </c>
      <c r="L29" s="1775">
        <f t="shared" si="5"/>
        <v>12.7</v>
      </c>
      <c r="M29" s="1806">
        <f t="shared" si="5"/>
        <v>723.8</v>
      </c>
      <c r="N29" s="1774">
        <f t="shared" si="5"/>
        <v>723.8</v>
      </c>
      <c r="O29" s="1774">
        <f t="shared" si="5"/>
        <v>653.09999999999991</v>
      </c>
      <c r="P29" s="1775">
        <f t="shared" si="5"/>
        <v>0</v>
      </c>
      <c r="Q29" s="1806">
        <f t="shared" si="5"/>
        <v>732.90000000000009</v>
      </c>
      <c r="R29" s="1774">
        <f t="shared" si="5"/>
        <v>732.90000000000009</v>
      </c>
      <c r="S29" s="1774">
        <f t="shared" si="5"/>
        <v>604</v>
      </c>
      <c r="T29" s="1775">
        <f t="shared" si="5"/>
        <v>0</v>
      </c>
      <c r="U29" s="1806">
        <f t="shared" si="5"/>
        <v>732.9</v>
      </c>
      <c r="V29" s="1774">
        <f t="shared" si="5"/>
        <v>732.9</v>
      </c>
      <c r="W29" s="1774">
        <f t="shared" si="5"/>
        <v>604</v>
      </c>
      <c r="X29" s="1775">
        <f t="shared" si="5"/>
        <v>0</v>
      </c>
      <c r="Y29" s="120"/>
      <c r="Z29" s="120"/>
      <c r="AA29" s="120"/>
      <c r="AB29" s="120"/>
      <c r="AC29" s="120"/>
      <c r="AD29" s="120"/>
      <c r="AE29" s="120"/>
      <c r="AF29" s="120"/>
    </row>
    <row r="30" spans="1:32" s="120" customFormat="1" ht="27.75" customHeight="1" thickBot="1" x14ac:dyDescent="0.25">
      <c r="A30" s="3027">
        <v>1</v>
      </c>
      <c r="B30" s="3028">
        <v>2</v>
      </c>
      <c r="C30" s="2984">
        <v>2</v>
      </c>
      <c r="D30" s="2985" t="s">
        <v>450</v>
      </c>
      <c r="E30" s="3030" t="s">
        <v>440</v>
      </c>
      <c r="F30" s="1807" t="s">
        <v>443</v>
      </c>
      <c r="G30" s="1954" t="s">
        <v>451</v>
      </c>
      <c r="H30" s="1800" t="s">
        <v>362</v>
      </c>
      <c r="I30" s="1801">
        <v>8</v>
      </c>
      <c r="J30" s="1808">
        <v>8</v>
      </c>
      <c r="K30" s="1808"/>
      <c r="L30" s="1809"/>
      <c r="M30" s="1801">
        <v>8</v>
      </c>
      <c r="N30" s="1808">
        <v>8</v>
      </c>
      <c r="O30" s="1808"/>
      <c r="P30" s="1809"/>
      <c r="Q30" s="1801">
        <v>8</v>
      </c>
      <c r="R30" s="1808">
        <v>8</v>
      </c>
      <c r="S30" s="1808"/>
      <c r="T30" s="1809"/>
      <c r="U30" s="1801"/>
      <c r="V30" s="1808"/>
      <c r="W30" s="1808"/>
      <c r="X30" s="1809"/>
    </row>
    <row r="31" spans="1:32" s="121" customFormat="1" ht="29.25" customHeight="1" thickBot="1" x14ac:dyDescent="0.25">
      <c r="A31" s="2981"/>
      <c r="B31" s="3029"/>
      <c r="C31" s="2984"/>
      <c r="D31" s="2985"/>
      <c r="E31" s="3031"/>
      <c r="F31" s="2988" t="s">
        <v>436</v>
      </c>
      <c r="G31" s="2989"/>
      <c r="H31" s="2990"/>
      <c r="I31" s="1806">
        <f>SUM(I30)</f>
        <v>8</v>
      </c>
      <c r="J31" s="1774">
        <f t="shared" ref="J31:X31" si="6">SUM(J30)</f>
        <v>8</v>
      </c>
      <c r="K31" s="1774">
        <f t="shared" si="6"/>
        <v>0</v>
      </c>
      <c r="L31" s="1775">
        <f t="shared" si="6"/>
        <v>0</v>
      </c>
      <c r="M31" s="1806">
        <f t="shared" si="6"/>
        <v>8</v>
      </c>
      <c r="N31" s="1774">
        <f t="shared" si="6"/>
        <v>8</v>
      </c>
      <c r="O31" s="1774">
        <f t="shared" si="6"/>
        <v>0</v>
      </c>
      <c r="P31" s="1774">
        <f t="shared" si="6"/>
        <v>0</v>
      </c>
      <c r="Q31" s="1806">
        <f t="shared" si="6"/>
        <v>8</v>
      </c>
      <c r="R31" s="1774">
        <f t="shared" si="6"/>
        <v>8</v>
      </c>
      <c r="S31" s="1774">
        <f t="shared" si="6"/>
        <v>0</v>
      </c>
      <c r="T31" s="1774">
        <f t="shared" si="6"/>
        <v>0</v>
      </c>
      <c r="U31" s="1806">
        <f t="shared" si="6"/>
        <v>0</v>
      </c>
      <c r="V31" s="1774">
        <f t="shared" si="6"/>
        <v>0</v>
      </c>
      <c r="W31" s="1774">
        <f t="shared" si="6"/>
        <v>0</v>
      </c>
      <c r="X31" s="1810">
        <f t="shared" si="6"/>
        <v>0</v>
      </c>
      <c r="Y31" s="1811"/>
      <c r="Z31" s="120"/>
      <c r="AA31" s="120"/>
      <c r="AB31" s="120"/>
      <c r="AC31" s="120"/>
      <c r="AD31" s="120"/>
      <c r="AE31" s="120"/>
      <c r="AF31" s="120"/>
    </row>
    <row r="32" spans="1:32" s="121" customFormat="1" ht="24" customHeight="1" x14ac:dyDescent="0.2">
      <c r="A32" s="3027">
        <v>1</v>
      </c>
      <c r="B32" s="3055">
        <v>2</v>
      </c>
      <c r="C32" s="3005">
        <v>3</v>
      </c>
      <c r="D32" s="3007" t="s">
        <v>452</v>
      </c>
      <c r="E32" s="3056" t="s">
        <v>440</v>
      </c>
      <c r="F32" s="3042" t="s">
        <v>443</v>
      </c>
      <c r="G32" s="3042" t="s">
        <v>453</v>
      </c>
      <c r="H32" s="1812" t="s">
        <v>30</v>
      </c>
      <c r="I32" s="1813">
        <v>7.5</v>
      </c>
      <c r="J32" s="1808">
        <v>7.5</v>
      </c>
      <c r="K32" s="1808">
        <v>5</v>
      </c>
      <c r="L32" s="1809"/>
      <c r="M32" s="1813">
        <v>3</v>
      </c>
      <c r="N32" s="1808">
        <v>3</v>
      </c>
      <c r="O32" s="1808"/>
      <c r="P32" s="1809"/>
      <c r="Q32" s="1813">
        <v>19.899999999999999</v>
      </c>
      <c r="R32" s="1808">
        <v>19.899999999999999</v>
      </c>
      <c r="S32" s="1808">
        <v>16.899999999999999</v>
      </c>
      <c r="T32" s="1809"/>
      <c r="U32" s="1813">
        <v>45</v>
      </c>
      <c r="V32" s="1808">
        <v>45</v>
      </c>
      <c r="W32" s="1808">
        <v>30</v>
      </c>
      <c r="X32" s="1809"/>
      <c r="Y32" s="3026"/>
      <c r="Z32" s="120"/>
      <c r="AA32" s="120"/>
      <c r="AB32" s="120"/>
      <c r="AC32" s="120"/>
      <c r="AD32" s="120"/>
      <c r="AE32" s="120"/>
      <c r="AF32" s="120"/>
    </row>
    <row r="33" spans="1:32" s="121" customFormat="1" ht="24" customHeight="1" x14ac:dyDescent="0.2">
      <c r="A33" s="2980"/>
      <c r="B33" s="3038"/>
      <c r="C33" s="3006"/>
      <c r="D33" s="3008"/>
      <c r="E33" s="3057"/>
      <c r="F33" s="3043"/>
      <c r="G33" s="3043"/>
      <c r="H33" s="1814" t="s">
        <v>454</v>
      </c>
      <c r="I33" s="1801"/>
      <c r="J33" s="1802"/>
      <c r="K33" s="1802"/>
      <c r="L33" s="1803"/>
      <c r="M33" s="1801">
        <v>9.6</v>
      </c>
      <c r="N33" s="1802">
        <v>9</v>
      </c>
      <c r="O33" s="1802">
        <v>3.7</v>
      </c>
      <c r="P33" s="1803">
        <v>0.6</v>
      </c>
      <c r="Q33" s="1801">
        <v>1.4</v>
      </c>
      <c r="R33" s="1802">
        <v>1.4</v>
      </c>
      <c r="S33" s="1802">
        <v>1.2</v>
      </c>
      <c r="T33" s="1803"/>
      <c r="U33" s="1801"/>
      <c r="V33" s="1802"/>
      <c r="W33" s="1802"/>
      <c r="X33" s="1803"/>
      <c r="Y33" s="3026"/>
      <c r="Z33" s="120"/>
      <c r="AA33" s="120"/>
      <c r="AB33" s="120"/>
      <c r="AC33" s="120"/>
      <c r="AD33" s="120"/>
      <c r="AE33" s="120"/>
      <c r="AF33" s="120"/>
    </row>
    <row r="34" spans="1:32" s="121" customFormat="1" ht="17.649999999999999" customHeight="1" thickBot="1" x14ac:dyDescent="0.25">
      <c r="A34" s="2980"/>
      <c r="B34" s="3038"/>
      <c r="C34" s="3006"/>
      <c r="D34" s="3008"/>
      <c r="E34" s="3057"/>
      <c r="F34" s="3044"/>
      <c r="G34" s="3044"/>
      <c r="H34" s="1815" t="s">
        <v>455</v>
      </c>
      <c r="I34" s="1791">
        <v>14</v>
      </c>
      <c r="J34" s="1792">
        <v>14</v>
      </c>
      <c r="K34" s="1792">
        <v>13.3</v>
      </c>
      <c r="L34" s="1793"/>
      <c r="M34" s="1791">
        <v>54.4</v>
      </c>
      <c r="N34" s="1792">
        <v>51</v>
      </c>
      <c r="O34" s="1792">
        <v>21.3</v>
      </c>
      <c r="P34" s="1793">
        <v>3.4</v>
      </c>
      <c r="Q34" s="1791">
        <v>7.7</v>
      </c>
      <c r="R34" s="1792">
        <v>7.7</v>
      </c>
      <c r="S34" s="1792">
        <v>6.9</v>
      </c>
      <c r="T34" s="1793"/>
      <c r="U34" s="1791"/>
      <c r="V34" s="1792"/>
      <c r="W34" s="1792"/>
      <c r="X34" s="1793"/>
      <c r="Y34" s="3026"/>
      <c r="Z34" s="120"/>
      <c r="AA34" s="120"/>
      <c r="AB34" s="120"/>
      <c r="AC34" s="120"/>
      <c r="AD34" s="120"/>
      <c r="AE34" s="120"/>
      <c r="AF34" s="120"/>
    </row>
    <row r="35" spans="1:32" s="121" customFormat="1" ht="20.65" customHeight="1" thickBot="1" x14ac:dyDescent="0.25">
      <c r="A35" s="2981"/>
      <c r="B35" s="2982"/>
      <c r="C35" s="2995"/>
      <c r="D35" s="3009"/>
      <c r="E35" s="3031"/>
      <c r="F35" s="2988" t="s">
        <v>436</v>
      </c>
      <c r="G35" s="2989"/>
      <c r="H35" s="2990"/>
      <c r="I35" s="1806">
        <f>SUM(I32:I34)</f>
        <v>21.5</v>
      </c>
      <c r="J35" s="1774">
        <f t="shared" ref="J35:X35" si="7">SUM(J32:J34)</f>
        <v>21.5</v>
      </c>
      <c r="K35" s="1774">
        <f t="shared" si="7"/>
        <v>18.3</v>
      </c>
      <c r="L35" s="1775">
        <f t="shared" si="7"/>
        <v>0</v>
      </c>
      <c r="M35" s="1816">
        <f t="shared" si="7"/>
        <v>67</v>
      </c>
      <c r="N35" s="1816">
        <f t="shared" si="7"/>
        <v>63</v>
      </c>
      <c r="O35" s="1816">
        <f t="shared" si="7"/>
        <v>25</v>
      </c>
      <c r="P35" s="1816">
        <f t="shared" si="7"/>
        <v>4</v>
      </c>
      <c r="Q35" s="1806">
        <f t="shared" si="7"/>
        <v>28.999999999999996</v>
      </c>
      <c r="R35" s="1774">
        <f t="shared" si="7"/>
        <v>28.999999999999996</v>
      </c>
      <c r="S35" s="1774">
        <f t="shared" si="7"/>
        <v>25</v>
      </c>
      <c r="T35" s="1774">
        <f t="shared" si="7"/>
        <v>0</v>
      </c>
      <c r="U35" s="1806">
        <f t="shared" si="7"/>
        <v>45</v>
      </c>
      <c r="V35" s="1774">
        <f t="shared" si="7"/>
        <v>45</v>
      </c>
      <c r="W35" s="1774">
        <f t="shared" si="7"/>
        <v>30</v>
      </c>
      <c r="X35" s="1775">
        <f t="shared" si="7"/>
        <v>0</v>
      </c>
      <c r="Y35" s="3045"/>
      <c r="Z35" s="120"/>
      <c r="AA35" s="120"/>
      <c r="AB35" s="120"/>
      <c r="AC35" s="120"/>
      <c r="AD35" s="120"/>
      <c r="AE35" s="120"/>
      <c r="AF35" s="120"/>
    </row>
    <row r="36" spans="1:32" ht="15.75" hidden="1" thickBot="1" x14ac:dyDescent="0.3"/>
    <row r="37" spans="1:32" ht="15.75" hidden="1" thickBot="1" x14ac:dyDescent="0.3"/>
    <row r="38" spans="1:32" ht="15.75" hidden="1" thickBot="1" x14ac:dyDescent="0.3"/>
    <row r="39" spans="1:32" s="120" customFormat="1" ht="13.5" customHeight="1" x14ac:dyDescent="0.2">
      <c r="A39" s="3046">
        <v>1</v>
      </c>
      <c r="B39" s="3047">
        <v>2</v>
      </c>
      <c r="C39" s="3049">
        <v>5</v>
      </c>
      <c r="D39" s="3050" t="s">
        <v>456</v>
      </c>
      <c r="E39" s="3051" t="s">
        <v>440</v>
      </c>
      <c r="F39" s="3052" t="s">
        <v>443</v>
      </c>
      <c r="G39" s="3053" t="s">
        <v>457</v>
      </c>
      <c r="H39" s="1972" t="s">
        <v>30</v>
      </c>
      <c r="I39" s="1813">
        <f>SUM(L39,J39)</f>
        <v>76.5</v>
      </c>
      <c r="J39" s="1808">
        <f>79.2+1.3-4</f>
        <v>76.5</v>
      </c>
      <c r="K39" s="1808">
        <v>56.8</v>
      </c>
      <c r="L39" s="1809"/>
      <c r="M39" s="2018">
        <v>112.2</v>
      </c>
      <c r="N39" s="2019">
        <v>112.2</v>
      </c>
      <c r="O39" s="2019">
        <v>83.1</v>
      </c>
      <c r="P39" s="1809"/>
      <c r="Q39" s="1813">
        <v>93.7</v>
      </c>
      <c r="R39" s="1808">
        <v>93.7</v>
      </c>
      <c r="S39" s="1808">
        <v>68.8</v>
      </c>
      <c r="T39" s="1809"/>
      <c r="U39" s="1813">
        <v>93.7</v>
      </c>
      <c r="V39" s="1808">
        <v>93.7</v>
      </c>
      <c r="W39" s="1808">
        <v>68.8</v>
      </c>
      <c r="X39" s="1809"/>
      <c r="Y39" s="3059"/>
    </row>
    <row r="40" spans="1:32" s="120" customFormat="1" ht="13.5" customHeight="1" x14ac:dyDescent="0.2">
      <c r="A40" s="2980"/>
      <c r="B40" s="3048"/>
      <c r="C40" s="2984"/>
      <c r="D40" s="2985"/>
      <c r="E40" s="2986"/>
      <c r="F40" s="3006"/>
      <c r="G40" s="3054"/>
      <c r="H40" s="1817" t="s">
        <v>33</v>
      </c>
      <c r="I40" s="1801"/>
      <c r="J40" s="1802"/>
      <c r="K40" s="1802"/>
      <c r="L40" s="1803"/>
      <c r="M40" s="1801">
        <v>1</v>
      </c>
      <c r="N40" s="1802">
        <v>1</v>
      </c>
      <c r="O40" s="1802">
        <v>1</v>
      </c>
      <c r="P40" s="1803"/>
      <c r="Q40" s="1801"/>
      <c r="R40" s="1802"/>
      <c r="S40" s="1802"/>
      <c r="T40" s="1803"/>
      <c r="U40" s="1801"/>
      <c r="V40" s="1802"/>
      <c r="W40" s="1802"/>
      <c r="X40" s="1803"/>
      <c r="Y40" s="3059"/>
    </row>
    <row r="41" spans="1:32" s="120" customFormat="1" ht="13.5" customHeight="1" x14ac:dyDescent="0.2">
      <c r="A41" s="2980"/>
      <c r="B41" s="3048"/>
      <c r="C41" s="2984"/>
      <c r="D41" s="2985"/>
      <c r="E41" s="2986"/>
      <c r="F41" s="3006"/>
      <c r="G41" s="3054"/>
      <c r="H41" s="1817" t="s">
        <v>458</v>
      </c>
      <c r="I41" s="1801">
        <v>253</v>
      </c>
      <c r="J41" s="1802">
        <v>253</v>
      </c>
      <c r="K41" s="1802">
        <v>181.6</v>
      </c>
      <c r="L41" s="1803"/>
      <c r="M41" s="1801">
        <v>268.2</v>
      </c>
      <c r="N41" s="1802">
        <v>268.2</v>
      </c>
      <c r="O41" s="2043">
        <v>220.3</v>
      </c>
      <c r="P41" s="1803"/>
      <c r="Q41" s="1801">
        <v>249.3</v>
      </c>
      <c r="R41" s="1802">
        <v>249.3</v>
      </c>
      <c r="S41" s="1802">
        <v>217.9</v>
      </c>
      <c r="T41" s="1803"/>
      <c r="U41" s="1801">
        <v>249.3</v>
      </c>
      <c r="V41" s="1802">
        <v>249.3</v>
      </c>
      <c r="W41" s="1802">
        <v>217.9</v>
      </c>
      <c r="X41" s="1803"/>
      <c r="Y41" s="3059"/>
    </row>
    <row r="42" spans="1:32" s="120" customFormat="1" ht="13.5" customHeight="1" thickBot="1" x14ac:dyDescent="0.25">
      <c r="A42" s="2980"/>
      <c r="B42" s="3048"/>
      <c r="C42" s="2984"/>
      <c r="D42" s="2985"/>
      <c r="E42" s="2986"/>
      <c r="F42" s="3040"/>
      <c r="G42" s="3054"/>
      <c r="H42" s="1820" t="s">
        <v>34</v>
      </c>
      <c r="I42" s="1801">
        <v>4</v>
      </c>
      <c r="J42" s="1770">
        <v>2</v>
      </c>
      <c r="K42" s="1770">
        <v>1</v>
      </c>
      <c r="L42" s="1771">
        <v>2</v>
      </c>
      <c r="M42" s="1801">
        <v>2</v>
      </c>
      <c r="N42" s="1770">
        <v>2</v>
      </c>
      <c r="O42" s="1770">
        <v>0.5</v>
      </c>
      <c r="P42" s="1771"/>
      <c r="Q42" s="1973">
        <v>4</v>
      </c>
      <c r="R42" s="1801">
        <v>4</v>
      </c>
      <c r="S42" s="1770">
        <v>2</v>
      </c>
      <c r="T42" s="1770"/>
      <c r="U42" s="1771">
        <v>4</v>
      </c>
      <c r="V42" s="1801">
        <v>4</v>
      </c>
      <c r="W42" s="1770">
        <v>2</v>
      </c>
      <c r="X42" s="1771"/>
      <c r="Y42" s="3059"/>
    </row>
    <row r="43" spans="1:32" s="121" customFormat="1" ht="12.75" customHeight="1" thickBot="1" x14ac:dyDescent="0.25">
      <c r="A43" s="2981"/>
      <c r="B43" s="3029"/>
      <c r="C43" s="2984"/>
      <c r="D43" s="2985"/>
      <c r="E43" s="2987"/>
      <c r="F43" s="2988" t="s">
        <v>436</v>
      </c>
      <c r="G43" s="2989"/>
      <c r="H43" s="2990"/>
      <c r="I43" s="1806">
        <f>SUM(I39:I42)</f>
        <v>333.5</v>
      </c>
      <c r="J43" s="1774">
        <f t="shared" ref="J43:X43" si="8">SUM(J39:J42)</f>
        <v>331.5</v>
      </c>
      <c r="K43" s="1774">
        <f t="shared" si="8"/>
        <v>239.39999999999998</v>
      </c>
      <c r="L43" s="1775">
        <f t="shared" si="8"/>
        <v>2</v>
      </c>
      <c r="M43" s="1806">
        <f t="shared" si="8"/>
        <v>383.4</v>
      </c>
      <c r="N43" s="1774">
        <f>SUM(N39:N42)</f>
        <v>383.4</v>
      </c>
      <c r="O43" s="1774">
        <f t="shared" si="8"/>
        <v>304.89999999999998</v>
      </c>
      <c r="P43" s="1775">
        <f t="shared" si="8"/>
        <v>0</v>
      </c>
      <c r="Q43" s="1806">
        <f t="shared" si="8"/>
        <v>347</v>
      </c>
      <c r="R43" s="1774">
        <f t="shared" si="8"/>
        <v>347</v>
      </c>
      <c r="S43" s="1774">
        <f t="shared" si="8"/>
        <v>288.7</v>
      </c>
      <c r="T43" s="1775">
        <f t="shared" si="8"/>
        <v>0</v>
      </c>
      <c r="U43" s="1806">
        <f t="shared" si="8"/>
        <v>347</v>
      </c>
      <c r="V43" s="1774">
        <f t="shared" si="8"/>
        <v>347</v>
      </c>
      <c r="W43" s="1774">
        <f t="shared" si="8"/>
        <v>288.7</v>
      </c>
      <c r="X43" s="1775">
        <f t="shared" si="8"/>
        <v>0</v>
      </c>
      <c r="Y43" s="120"/>
      <c r="Z43" s="120"/>
      <c r="AA43" s="120"/>
      <c r="AB43" s="120"/>
      <c r="AC43" s="120"/>
      <c r="AD43" s="120"/>
      <c r="AE43" s="120"/>
      <c r="AF43" s="120"/>
    </row>
    <row r="44" spans="1:32" s="121" customFormat="1" ht="26.1" customHeight="1" x14ac:dyDescent="0.2">
      <c r="A44" s="3027">
        <v>1</v>
      </c>
      <c r="B44" s="3055">
        <v>2</v>
      </c>
      <c r="C44" s="3006">
        <v>6</v>
      </c>
      <c r="D44" s="3007" t="s">
        <v>459</v>
      </c>
      <c r="E44" s="1959" t="s">
        <v>440</v>
      </c>
      <c r="F44" s="3060" t="s">
        <v>443</v>
      </c>
      <c r="G44" s="3060" t="s">
        <v>460</v>
      </c>
      <c r="H44" s="1821" t="s">
        <v>33</v>
      </c>
      <c r="I44" s="1770">
        <v>105.3</v>
      </c>
      <c r="J44" s="1770">
        <v>105.3</v>
      </c>
      <c r="K44" s="1770">
        <f>51.8-13</f>
        <v>38.799999999999997</v>
      </c>
      <c r="L44" s="1771"/>
      <c r="M44" s="1770">
        <v>122.2</v>
      </c>
      <c r="N44" s="1770">
        <v>122.2</v>
      </c>
      <c r="O44" s="1770">
        <v>63.1</v>
      </c>
      <c r="P44" s="1771"/>
      <c r="Q44" s="1770">
        <v>111.9</v>
      </c>
      <c r="R44" s="1770">
        <v>111.9</v>
      </c>
      <c r="S44" s="1770">
        <v>61.1</v>
      </c>
      <c r="T44" s="1771"/>
      <c r="U44" s="1770">
        <v>111.9</v>
      </c>
      <c r="V44" s="1770">
        <v>111.9</v>
      </c>
      <c r="W44" s="1770">
        <v>61.1</v>
      </c>
      <c r="X44" s="1771"/>
      <c r="Y44" s="1968"/>
      <c r="Z44" s="120"/>
      <c r="AA44" s="120"/>
      <c r="AB44" s="120"/>
      <c r="AC44" s="120"/>
      <c r="AD44" s="120"/>
      <c r="AE44" s="120"/>
      <c r="AF44" s="120"/>
    </row>
    <row r="45" spans="1:32" s="121" customFormat="1" ht="20.25" customHeight="1" thickBot="1" x14ac:dyDescent="0.25">
      <c r="A45" s="2980"/>
      <c r="B45" s="3038"/>
      <c r="C45" s="3006"/>
      <c r="D45" s="3008"/>
      <c r="E45" s="1951" t="s">
        <v>588</v>
      </c>
      <c r="F45" s="3061"/>
      <c r="G45" s="3061"/>
      <c r="H45" s="1822" t="s">
        <v>30</v>
      </c>
      <c r="I45" s="1823">
        <v>10</v>
      </c>
      <c r="J45" s="1824">
        <v>10</v>
      </c>
      <c r="K45" s="1825"/>
      <c r="L45" s="1826"/>
      <c r="M45" s="1823">
        <v>10</v>
      </c>
      <c r="N45" s="1824">
        <v>10</v>
      </c>
      <c r="O45" s="1825"/>
      <c r="P45" s="1826"/>
      <c r="Q45" s="1827">
        <v>10</v>
      </c>
      <c r="R45" s="1825">
        <v>10</v>
      </c>
      <c r="S45" s="1825"/>
      <c r="T45" s="1826"/>
      <c r="U45" s="1788">
        <v>10</v>
      </c>
      <c r="V45" s="1789">
        <v>10</v>
      </c>
      <c r="W45" s="1789"/>
      <c r="X45" s="1790"/>
      <c r="Y45" s="1969"/>
      <c r="Z45" s="120"/>
      <c r="AA45" s="120"/>
      <c r="AB45" s="120"/>
      <c r="AC45" s="120"/>
      <c r="AD45" s="120"/>
      <c r="AE45" s="120"/>
      <c r="AF45" s="120"/>
    </row>
    <row r="46" spans="1:32" s="121" customFormat="1" ht="26.65" customHeight="1" thickBot="1" x14ac:dyDescent="0.25">
      <c r="A46" s="2981"/>
      <c r="B46" s="2982"/>
      <c r="C46" s="2995"/>
      <c r="D46" s="3009"/>
      <c r="E46" s="1955"/>
      <c r="F46" s="3062" t="s">
        <v>436</v>
      </c>
      <c r="G46" s="3063"/>
      <c r="H46" s="3063"/>
      <c r="I46" s="1806">
        <f>SUM(I44:I45)</f>
        <v>115.3</v>
      </c>
      <c r="J46" s="1774">
        <f>SUM(J44:J45)</f>
        <v>115.3</v>
      </c>
      <c r="K46" s="1828">
        <f>SUM(K44:K45)</f>
        <v>38.799999999999997</v>
      </c>
      <c r="L46" s="1829"/>
      <c r="M46" s="1806">
        <f>SUM(M44:M45)</f>
        <v>132.19999999999999</v>
      </c>
      <c r="N46" s="1774">
        <f t="shared" ref="N46:X46" si="9">SUM(N44:N45)</f>
        <v>132.19999999999999</v>
      </c>
      <c r="O46" s="1774">
        <f t="shared" si="9"/>
        <v>63.1</v>
      </c>
      <c r="P46" s="1775">
        <f t="shared" si="9"/>
        <v>0</v>
      </c>
      <c r="Q46" s="1828">
        <f t="shared" si="9"/>
        <v>121.9</v>
      </c>
      <c r="R46" s="1774">
        <f t="shared" si="9"/>
        <v>121.9</v>
      </c>
      <c r="S46" s="1774">
        <f t="shared" si="9"/>
        <v>61.1</v>
      </c>
      <c r="T46" s="1775">
        <f t="shared" si="9"/>
        <v>0</v>
      </c>
      <c r="U46" s="1828">
        <f t="shared" si="9"/>
        <v>121.9</v>
      </c>
      <c r="V46" s="1774">
        <f t="shared" si="9"/>
        <v>121.9</v>
      </c>
      <c r="W46" s="1774">
        <f t="shared" si="9"/>
        <v>61.1</v>
      </c>
      <c r="X46" s="1830">
        <f t="shared" si="9"/>
        <v>0</v>
      </c>
      <c r="Y46" s="120"/>
      <c r="Z46" s="120"/>
      <c r="AA46" s="120"/>
      <c r="AB46" s="120"/>
      <c r="AC46" s="120"/>
      <c r="AD46" s="120"/>
      <c r="AE46" s="120"/>
      <c r="AF46" s="120"/>
    </row>
    <row r="47" spans="1:32" s="121" customFormat="1" ht="22.5" customHeight="1" thickBot="1" x14ac:dyDescent="0.25">
      <c r="A47" s="2980">
        <v>1</v>
      </c>
      <c r="B47" s="3048">
        <v>2</v>
      </c>
      <c r="C47" s="3006">
        <v>7</v>
      </c>
      <c r="D47" s="3008" t="s">
        <v>461</v>
      </c>
      <c r="E47" s="3012" t="s">
        <v>163</v>
      </c>
      <c r="F47" s="1960" t="s">
        <v>443</v>
      </c>
      <c r="G47" s="1960" t="s">
        <v>462</v>
      </c>
      <c r="H47" s="1831" t="s">
        <v>362</v>
      </c>
      <c r="I47" s="1827">
        <v>10.3</v>
      </c>
      <c r="J47" s="1825">
        <v>10.3</v>
      </c>
      <c r="K47" s="1825"/>
      <c r="L47" s="1826"/>
      <c r="M47" s="1827">
        <v>11.7</v>
      </c>
      <c r="N47" s="1825">
        <v>11.7</v>
      </c>
      <c r="O47" s="1825"/>
      <c r="P47" s="1826"/>
      <c r="Q47" s="1827">
        <v>12.5</v>
      </c>
      <c r="R47" s="1825">
        <v>12.5</v>
      </c>
      <c r="S47" s="1825"/>
      <c r="T47" s="1826"/>
      <c r="U47" s="1827">
        <v>8</v>
      </c>
      <c r="V47" s="1825">
        <v>8</v>
      </c>
      <c r="W47" s="1825"/>
      <c r="X47" s="1803"/>
      <c r="Y47" s="3058"/>
      <c r="Z47" s="120"/>
      <c r="AA47" s="120"/>
      <c r="AB47" s="120"/>
      <c r="AC47" s="120"/>
      <c r="AD47" s="120"/>
      <c r="AE47" s="120"/>
      <c r="AF47" s="120"/>
    </row>
    <row r="48" spans="1:32" s="121" customFormat="1" ht="24.75" customHeight="1" thickBot="1" x14ac:dyDescent="0.25">
      <c r="A48" s="2981"/>
      <c r="B48" s="3029"/>
      <c r="C48" s="3006"/>
      <c r="D48" s="3009"/>
      <c r="E48" s="3013"/>
      <c r="F48" s="2988" t="s">
        <v>436</v>
      </c>
      <c r="G48" s="2989"/>
      <c r="H48" s="2990"/>
      <c r="I48" s="1806">
        <v>10.3</v>
      </c>
      <c r="J48" s="1774">
        <v>10.3</v>
      </c>
      <c r="K48" s="1774"/>
      <c r="L48" s="1829"/>
      <c r="M48" s="1806">
        <f>SUM(M47)</f>
        <v>11.7</v>
      </c>
      <c r="N48" s="1774">
        <f t="shared" ref="N48:X48" si="10">SUM(N47)</f>
        <v>11.7</v>
      </c>
      <c r="O48" s="1774">
        <f t="shared" si="10"/>
        <v>0</v>
      </c>
      <c r="P48" s="1829">
        <f t="shared" si="10"/>
        <v>0</v>
      </c>
      <c r="Q48" s="1806">
        <f t="shared" si="10"/>
        <v>12.5</v>
      </c>
      <c r="R48" s="1774">
        <f t="shared" si="10"/>
        <v>12.5</v>
      </c>
      <c r="S48" s="1774">
        <f t="shared" si="10"/>
        <v>0</v>
      </c>
      <c r="T48" s="1829">
        <f t="shared" si="10"/>
        <v>0</v>
      </c>
      <c r="U48" s="1806">
        <f t="shared" si="10"/>
        <v>8</v>
      </c>
      <c r="V48" s="1774">
        <f t="shared" si="10"/>
        <v>8</v>
      </c>
      <c r="W48" s="1774">
        <f t="shared" si="10"/>
        <v>0</v>
      </c>
      <c r="X48" s="1832">
        <f t="shared" si="10"/>
        <v>0</v>
      </c>
      <c r="Y48" s="3058"/>
      <c r="Z48" s="120"/>
      <c r="AA48" s="120"/>
      <c r="AB48" s="120"/>
      <c r="AC48" s="120"/>
      <c r="AD48" s="120"/>
      <c r="AE48" s="120"/>
      <c r="AF48" s="120"/>
    </row>
    <row r="49" spans="1:32" s="121" customFormat="1" ht="16.5" customHeight="1" thickBot="1" x14ac:dyDescent="0.25">
      <c r="A49" s="3027">
        <v>1</v>
      </c>
      <c r="B49" s="3055">
        <v>2</v>
      </c>
      <c r="C49" s="3005">
        <v>8</v>
      </c>
      <c r="D49" s="3007" t="s">
        <v>463</v>
      </c>
      <c r="E49" s="3064" t="s">
        <v>440</v>
      </c>
      <c r="F49" s="1833" t="s">
        <v>443</v>
      </c>
      <c r="G49" s="1960" t="s">
        <v>464</v>
      </c>
      <c r="H49" s="1834" t="s">
        <v>362</v>
      </c>
      <c r="I49" s="1835">
        <v>2</v>
      </c>
      <c r="J49" s="1770">
        <v>2</v>
      </c>
      <c r="K49" s="1770"/>
      <c r="L49" s="1771"/>
      <c r="M49" s="1835">
        <v>4</v>
      </c>
      <c r="N49" s="1770">
        <v>4</v>
      </c>
      <c r="O49" s="1770"/>
      <c r="P49" s="1771"/>
      <c r="Q49" s="1835">
        <v>2</v>
      </c>
      <c r="R49" s="1770">
        <v>2</v>
      </c>
      <c r="S49" s="1770"/>
      <c r="T49" s="1771"/>
      <c r="U49" s="1835">
        <v>2</v>
      </c>
      <c r="V49" s="1770">
        <v>2</v>
      </c>
      <c r="W49" s="1770"/>
      <c r="X49" s="1771"/>
      <c r="Y49" s="1970"/>
      <c r="Z49" s="120"/>
      <c r="AA49" s="120"/>
      <c r="AB49" s="120"/>
      <c r="AC49" s="120"/>
      <c r="AD49" s="120"/>
      <c r="AE49" s="120"/>
      <c r="AF49" s="120"/>
    </row>
    <row r="50" spans="1:32" s="121" customFormat="1" ht="18.75" customHeight="1" thickBot="1" x14ac:dyDescent="0.25">
      <c r="A50" s="2981"/>
      <c r="B50" s="2982"/>
      <c r="C50" s="2995"/>
      <c r="D50" s="3009"/>
      <c r="E50" s="3065"/>
      <c r="F50" s="2988" t="s">
        <v>436</v>
      </c>
      <c r="G50" s="2989"/>
      <c r="H50" s="2990"/>
      <c r="I50" s="1806">
        <v>2</v>
      </c>
      <c r="J50" s="1774">
        <v>2</v>
      </c>
      <c r="K50" s="1774"/>
      <c r="L50" s="1829"/>
      <c r="M50" s="1806">
        <f>SUM(M49)</f>
        <v>4</v>
      </c>
      <c r="N50" s="1774">
        <f t="shared" ref="N50:X50" si="11">SUM(N49)</f>
        <v>4</v>
      </c>
      <c r="O50" s="1774">
        <f t="shared" si="11"/>
        <v>0</v>
      </c>
      <c r="P50" s="1829">
        <f t="shared" si="11"/>
        <v>0</v>
      </c>
      <c r="Q50" s="1806">
        <f t="shared" si="11"/>
        <v>2</v>
      </c>
      <c r="R50" s="1774">
        <f t="shared" si="11"/>
        <v>2</v>
      </c>
      <c r="S50" s="1774">
        <f t="shared" si="11"/>
        <v>0</v>
      </c>
      <c r="T50" s="1829">
        <f t="shared" si="11"/>
        <v>0</v>
      </c>
      <c r="U50" s="1806">
        <f t="shared" si="11"/>
        <v>2</v>
      </c>
      <c r="V50" s="1774">
        <f t="shared" si="11"/>
        <v>2</v>
      </c>
      <c r="W50" s="1774">
        <f t="shared" si="11"/>
        <v>0</v>
      </c>
      <c r="X50" s="1832">
        <f t="shared" si="11"/>
        <v>0</v>
      </c>
      <c r="Y50" s="120"/>
      <c r="Z50" s="120"/>
      <c r="AA50" s="120"/>
      <c r="AB50" s="120"/>
      <c r="AC50" s="120"/>
      <c r="AD50" s="120"/>
      <c r="AE50" s="120"/>
      <c r="AF50" s="120"/>
    </row>
    <row r="51" spans="1:32" s="121" customFormat="1" ht="17.100000000000001" customHeight="1" x14ac:dyDescent="0.2">
      <c r="A51" s="3027">
        <v>1</v>
      </c>
      <c r="B51" s="3028">
        <v>2</v>
      </c>
      <c r="C51" s="3005">
        <v>9</v>
      </c>
      <c r="D51" s="3007" t="s">
        <v>465</v>
      </c>
      <c r="E51" s="3064" t="s">
        <v>588</v>
      </c>
      <c r="F51" s="3052" t="s">
        <v>466</v>
      </c>
      <c r="G51" s="2995" t="s">
        <v>467</v>
      </c>
      <c r="H51" s="1837" t="s">
        <v>362</v>
      </c>
      <c r="I51" s="1801">
        <v>44.2</v>
      </c>
      <c r="J51" s="1838">
        <v>44.2</v>
      </c>
      <c r="K51" s="1802"/>
      <c r="L51" s="1839"/>
      <c r="M51" s="1801">
        <v>36.299999999999997</v>
      </c>
      <c r="N51" s="1802">
        <v>36.299999999999997</v>
      </c>
      <c r="O51" s="1802"/>
      <c r="P51" s="1839"/>
      <c r="Q51" s="1801">
        <v>32</v>
      </c>
      <c r="R51" s="1802">
        <v>32</v>
      </c>
      <c r="S51" s="1802"/>
      <c r="T51" s="1839"/>
      <c r="U51" s="1801">
        <v>38.5</v>
      </c>
      <c r="V51" s="1802">
        <v>38.5</v>
      </c>
      <c r="W51" s="1802"/>
      <c r="X51" s="1840"/>
      <c r="Y51" s="120"/>
      <c r="Z51" s="120"/>
      <c r="AA51" s="120"/>
      <c r="AB51" s="120"/>
      <c r="AC51" s="120"/>
      <c r="AD51" s="120"/>
      <c r="AE51" s="120"/>
      <c r="AF51" s="120"/>
    </row>
    <row r="52" spans="1:32" s="121" customFormat="1" ht="14.1" customHeight="1" thickBot="1" x14ac:dyDescent="0.25">
      <c r="A52" s="2980"/>
      <c r="B52" s="3048"/>
      <c r="C52" s="3006"/>
      <c r="D52" s="3008"/>
      <c r="E52" s="3039"/>
      <c r="F52" s="3006"/>
      <c r="G52" s="3005"/>
      <c r="H52" s="1841" t="s">
        <v>363</v>
      </c>
      <c r="I52" s="1769">
        <v>18.100000000000001</v>
      </c>
      <c r="J52" s="1842">
        <v>18.100000000000001</v>
      </c>
      <c r="K52" s="1792"/>
      <c r="L52" s="1843"/>
      <c r="M52" s="2020">
        <v>23.3</v>
      </c>
      <c r="N52" s="2023">
        <v>23.3</v>
      </c>
      <c r="O52" s="1792"/>
      <c r="P52" s="1843"/>
      <c r="Q52" s="1769"/>
      <c r="R52" s="1792"/>
      <c r="S52" s="1792"/>
      <c r="T52" s="1843"/>
      <c r="U52" s="1769"/>
      <c r="V52" s="1792"/>
      <c r="W52" s="1792"/>
      <c r="X52" s="1844"/>
      <c r="Y52" s="120"/>
      <c r="Z52" s="120"/>
      <c r="AA52" s="120"/>
      <c r="AB52" s="120"/>
      <c r="AC52" s="120"/>
      <c r="AD52" s="120"/>
      <c r="AE52" s="120"/>
      <c r="AF52" s="120"/>
    </row>
    <row r="53" spans="1:32" s="121" customFormat="1" ht="13.5" customHeight="1" thickBot="1" x14ac:dyDescent="0.25">
      <c r="A53" s="2981"/>
      <c r="B53" s="3029"/>
      <c r="C53" s="3006"/>
      <c r="D53" s="3008"/>
      <c r="E53" s="3012"/>
      <c r="F53" s="2988" t="s">
        <v>436</v>
      </c>
      <c r="G53" s="2989"/>
      <c r="H53" s="2990"/>
      <c r="I53" s="1845">
        <f>SUM(I51:I52)</f>
        <v>62.300000000000004</v>
      </c>
      <c r="J53" s="1846">
        <f t="shared" ref="J53:X53" si="12">SUM(J51:J52)</f>
        <v>62.300000000000004</v>
      </c>
      <c r="K53" s="1846">
        <f t="shared" si="12"/>
        <v>0</v>
      </c>
      <c r="L53" s="1847">
        <f t="shared" si="12"/>
        <v>0</v>
      </c>
      <c r="M53" s="1845">
        <f t="shared" si="12"/>
        <v>59.599999999999994</v>
      </c>
      <c r="N53" s="1846">
        <f>SUM(N51:N52)</f>
        <v>59.599999999999994</v>
      </c>
      <c r="O53" s="1846">
        <f t="shared" si="12"/>
        <v>0</v>
      </c>
      <c r="P53" s="1847">
        <f t="shared" si="12"/>
        <v>0</v>
      </c>
      <c r="Q53" s="1845">
        <f t="shared" si="12"/>
        <v>32</v>
      </c>
      <c r="R53" s="1846">
        <f t="shared" si="12"/>
        <v>32</v>
      </c>
      <c r="S53" s="1846">
        <f t="shared" si="12"/>
        <v>0</v>
      </c>
      <c r="T53" s="1847">
        <f t="shared" si="12"/>
        <v>0</v>
      </c>
      <c r="U53" s="1845">
        <f t="shared" si="12"/>
        <v>38.5</v>
      </c>
      <c r="V53" s="1846">
        <f t="shared" si="12"/>
        <v>38.5</v>
      </c>
      <c r="W53" s="1846">
        <f t="shared" si="12"/>
        <v>0</v>
      </c>
      <c r="X53" s="1847">
        <f t="shared" si="12"/>
        <v>0</v>
      </c>
      <c r="Y53" s="120"/>
      <c r="Z53" s="120"/>
      <c r="AA53" s="120"/>
      <c r="AB53" s="120"/>
      <c r="AC53" s="120"/>
      <c r="AD53" s="120"/>
      <c r="AE53" s="120"/>
      <c r="AF53" s="120"/>
    </row>
    <row r="54" spans="1:32" s="121" customFormat="1" ht="16.5" customHeight="1" x14ac:dyDescent="0.2">
      <c r="A54" s="3027">
        <v>1</v>
      </c>
      <c r="B54" s="3028">
        <v>2</v>
      </c>
      <c r="C54" s="3005">
        <v>10</v>
      </c>
      <c r="D54" s="3007" t="s">
        <v>468</v>
      </c>
      <c r="E54" s="3066" t="s">
        <v>440</v>
      </c>
      <c r="F54" s="3052" t="s">
        <v>466</v>
      </c>
      <c r="G54" s="3052" t="s">
        <v>469</v>
      </c>
      <c r="H54" s="1952" t="s">
        <v>30</v>
      </c>
      <c r="I54" s="1813">
        <v>0.5</v>
      </c>
      <c r="J54" s="1808">
        <v>0.5</v>
      </c>
      <c r="K54" s="1808">
        <v>0.4</v>
      </c>
      <c r="L54" s="1809"/>
      <c r="M54" s="2018">
        <v>1.1000000000000001</v>
      </c>
      <c r="N54" s="2019">
        <v>1.1000000000000001</v>
      </c>
      <c r="O54" s="2019">
        <v>0.3</v>
      </c>
      <c r="P54" s="1809"/>
      <c r="Q54" s="1813"/>
      <c r="R54" s="1808"/>
      <c r="S54" s="1808"/>
      <c r="T54" s="1809"/>
      <c r="U54" s="1813"/>
      <c r="V54" s="1808"/>
      <c r="W54" s="1808"/>
      <c r="X54" s="1809"/>
      <c r="Y54" s="3067"/>
      <c r="Z54" s="120"/>
      <c r="AA54" s="120"/>
      <c r="AB54" s="120"/>
      <c r="AC54" s="120"/>
      <c r="AD54" s="120"/>
      <c r="AE54" s="120"/>
      <c r="AF54" s="120"/>
    </row>
    <row r="55" spans="1:32" s="121" customFormat="1" ht="15.75" customHeight="1" x14ac:dyDescent="0.2">
      <c r="A55" s="2980"/>
      <c r="B55" s="3048"/>
      <c r="C55" s="3006"/>
      <c r="D55" s="3008"/>
      <c r="E55" s="3012"/>
      <c r="F55" s="3006"/>
      <c r="G55" s="3006"/>
      <c r="H55" s="1950" t="s">
        <v>112</v>
      </c>
      <c r="I55" s="1848">
        <v>0.5</v>
      </c>
      <c r="J55" s="1818">
        <v>0.5</v>
      </c>
      <c r="K55" s="1818">
        <v>0.4</v>
      </c>
      <c r="L55" s="1819"/>
      <c r="M55" s="2044">
        <v>1.1000000000000001</v>
      </c>
      <c r="N55" s="2021">
        <v>1.1000000000000001</v>
      </c>
      <c r="O55" s="2021">
        <v>0.3</v>
      </c>
      <c r="P55" s="1819"/>
      <c r="Q55" s="1848"/>
      <c r="R55" s="1818"/>
      <c r="S55" s="1818"/>
      <c r="T55" s="1819"/>
      <c r="U55" s="1848"/>
      <c r="V55" s="1818"/>
      <c r="W55" s="1818"/>
      <c r="X55" s="1819"/>
      <c r="Y55" s="3067"/>
      <c r="Z55" s="120"/>
      <c r="AA55" s="120"/>
      <c r="AB55" s="120"/>
      <c r="AC55" s="120"/>
      <c r="AD55" s="120"/>
      <c r="AE55" s="120"/>
      <c r="AF55" s="120"/>
    </row>
    <row r="56" spans="1:32" s="121" customFormat="1" ht="17.25" customHeight="1" thickBot="1" x14ac:dyDescent="0.25">
      <c r="A56" s="2980"/>
      <c r="B56" s="3048"/>
      <c r="C56" s="3006"/>
      <c r="D56" s="3008"/>
      <c r="E56" s="3012"/>
      <c r="F56" s="3040"/>
      <c r="G56" s="3040"/>
      <c r="H56" s="1953" t="s">
        <v>111</v>
      </c>
      <c r="I56" s="1788">
        <v>5</v>
      </c>
      <c r="J56" s="1789">
        <v>5</v>
      </c>
      <c r="K56" s="1789">
        <v>4.5</v>
      </c>
      <c r="L56" s="1790"/>
      <c r="M56" s="1788">
        <v>16.100000000000001</v>
      </c>
      <c r="N56" s="1789">
        <v>16.100000000000001</v>
      </c>
      <c r="O56" s="1789">
        <v>16.100000000000001</v>
      </c>
      <c r="P56" s="1790"/>
      <c r="Q56" s="1788"/>
      <c r="R56" s="1789"/>
      <c r="S56" s="1789"/>
      <c r="T56" s="1790"/>
      <c r="U56" s="1788"/>
      <c r="V56" s="1789"/>
      <c r="W56" s="1789"/>
      <c r="X56" s="1790"/>
      <c r="Y56" s="120"/>
      <c r="Z56" s="120"/>
      <c r="AA56" s="120"/>
      <c r="AB56" s="120"/>
      <c r="AC56" s="120"/>
      <c r="AD56" s="120"/>
      <c r="AE56" s="120"/>
      <c r="AF56" s="120"/>
    </row>
    <row r="57" spans="1:32" s="121" customFormat="1" ht="21.75" customHeight="1" thickBot="1" x14ac:dyDescent="0.25">
      <c r="A57" s="2981"/>
      <c r="B57" s="3029"/>
      <c r="C57" s="3006"/>
      <c r="D57" s="3008"/>
      <c r="E57" s="3012"/>
      <c r="F57" s="2988" t="s">
        <v>436</v>
      </c>
      <c r="G57" s="2989"/>
      <c r="H57" s="2990"/>
      <c r="I57" s="1806">
        <f>SUM(I54:I56)</f>
        <v>6</v>
      </c>
      <c r="J57" s="1774">
        <f t="shared" ref="J57:K57" si="13">SUM(J54:J56)</f>
        <v>6</v>
      </c>
      <c r="K57" s="1774">
        <f t="shared" si="13"/>
        <v>5.3</v>
      </c>
      <c r="L57" s="1775"/>
      <c r="M57" s="1806">
        <f>SUM(M54,M55,M56)</f>
        <v>18.3</v>
      </c>
      <c r="N57" s="1774">
        <f>SUM(N54:N56)</f>
        <v>18.3</v>
      </c>
      <c r="O57" s="1774">
        <f>SUM(O54:O56)</f>
        <v>16.700000000000003</v>
      </c>
      <c r="P57" s="1775"/>
      <c r="Q57" s="1806"/>
      <c r="R57" s="1774"/>
      <c r="S57" s="1774">
        <f>SUM(S54:S54)</f>
        <v>0</v>
      </c>
      <c r="T57" s="1775">
        <f>SUM(T54:T56)</f>
        <v>0</v>
      </c>
      <c r="U57" s="1806"/>
      <c r="V57" s="1774"/>
      <c r="W57" s="1774">
        <f>SUM(W54:W54)</f>
        <v>0</v>
      </c>
      <c r="X57" s="1775">
        <f>SUM(X54:X54)</f>
        <v>0</v>
      </c>
      <c r="Y57" s="120"/>
      <c r="Z57" s="120"/>
      <c r="AA57" s="120"/>
      <c r="AB57" s="120"/>
      <c r="AC57" s="120"/>
      <c r="AD57" s="120"/>
      <c r="AE57" s="120"/>
      <c r="AF57" s="120"/>
    </row>
    <row r="58" spans="1:32" s="121" customFormat="1" ht="18" customHeight="1" x14ac:dyDescent="0.2">
      <c r="A58" s="3068">
        <v>1</v>
      </c>
      <c r="B58" s="2983">
        <v>2</v>
      </c>
      <c r="C58" s="2984">
        <v>11</v>
      </c>
      <c r="D58" s="3007" t="s">
        <v>470</v>
      </c>
      <c r="E58" s="3066" t="s">
        <v>588</v>
      </c>
      <c r="F58" s="3060" t="s">
        <v>443</v>
      </c>
      <c r="G58" s="3069" t="s">
        <v>471</v>
      </c>
      <c r="H58" s="1849" t="s">
        <v>455</v>
      </c>
      <c r="I58" s="1813"/>
      <c r="J58" s="1808"/>
      <c r="K58" s="1808"/>
      <c r="L58" s="1809"/>
      <c r="M58" s="1848">
        <f>SUM(P58,N58)</f>
        <v>49.86</v>
      </c>
      <c r="N58" s="1818">
        <v>36.6</v>
      </c>
      <c r="O58" s="2021">
        <v>21.2</v>
      </c>
      <c r="P58" s="1819">
        <v>13.26</v>
      </c>
      <c r="Q58" s="1848">
        <v>22.1</v>
      </c>
      <c r="R58" s="1950">
        <v>22.1</v>
      </c>
      <c r="S58" s="1850">
        <v>22.1</v>
      </c>
      <c r="T58" s="1819">
        <v>0</v>
      </c>
      <c r="U58" s="1848">
        <v>5.78</v>
      </c>
      <c r="V58" s="1818">
        <v>5.8</v>
      </c>
      <c r="W58" s="1818">
        <v>5.78</v>
      </c>
      <c r="X58" s="1819">
        <v>0</v>
      </c>
      <c r="Y58" s="120"/>
      <c r="Z58" s="120"/>
      <c r="AA58" s="120"/>
      <c r="AB58" s="120"/>
      <c r="AC58" s="120"/>
      <c r="AD58" s="120"/>
      <c r="AE58" s="120"/>
      <c r="AF58" s="120"/>
    </row>
    <row r="59" spans="1:32" s="121" customFormat="1" ht="18" customHeight="1" thickBot="1" x14ac:dyDescent="0.25">
      <c r="A59" s="3068"/>
      <c r="B59" s="2983"/>
      <c r="C59" s="2984"/>
      <c r="D59" s="3008"/>
      <c r="E59" s="3066"/>
      <c r="F59" s="3061"/>
      <c r="G59" s="3069"/>
      <c r="H59" s="1851" t="s">
        <v>454</v>
      </c>
      <c r="I59" s="1788"/>
      <c r="J59" s="1789"/>
      <c r="K59" s="1789"/>
      <c r="L59" s="1790"/>
      <c r="M59" s="1848">
        <v>8.7899999999999991</v>
      </c>
      <c r="N59" s="1825">
        <v>6.5</v>
      </c>
      <c r="O59" s="2022">
        <v>3.7</v>
      </c>
      <c r="P59" s="1826">
        <v>2.34</v>
      </c>
      <c r="Q59" s="1852">
        <v>3.9</v>
      </c>
      <c r="R59" s="1953">
        <v>3.9</v>
      </c>
      <c r="S59" s="1825">
        <v>3.9</v>
      </c>
      <c r="T59" s="1826">
        <v>0</v>
      </c>
      <c r="U59" s="1852">
        <v>1.02</v>
      </c>
      <c r="V59" s="1953">
        <v>1</v>
      </c>
      <c r="W59" s="1825">
        <v>1.02</v>
      </c>
      <c r="X59" s="1826">
        <v>0</v>
      </c>
      <c r="Y59" s="120"/>
      <c r="Z59" s="120"/>
      <c r="AA59" s="120"/>
      <c r="AB59" s="120"/>
      <c r="AC59" s="120"/>
      <c r="AD59" s="120"/>
      <c r="AE59" s="120"/>
      <c r="AF59" s="120"/>
    </row>
    <row r="60" spans="1:32" s="121" customFormat="1" ht="21.75" customHeight="1" thickBot="1" x14ac:dyDescent="0.25">
      <c r="A60" s="3068"/>
      <c r="B60" s="2983"/>
      <c r="C60" s="2984"/>
      <c r="D60" s="3009"/>
      <c r="E60" s="3066"/>
      <c r="F60" s="3070" t="s">
        <v>436</v>
      </c>
      <c r="G60" s="3071"/>
      <c r="H60" s="3072"/>
      <c r="I60" s="1806">
        <f t="shared" ref="I60:X60" si="14">SUM(I58:I59)</f>
        <v>0</v>
      </c>
      <c r="J60" s="1774">
        <f t="shared" si="14"/>
        <v>0</v>
      </c>
      <c r="K60" s="1774">
        <f t="shared" si="14"/>
        <v>0</v>
      </c>
      <c r="L60" s="1775">
        <f t="shared" si="14"/>
        <v>0</v>
      </c>
      <c r="M60" s="1828">
        <f t="shared" si="14"/>
        <v>58.65</v>
      </c>
      <c r="N60" s="1774">
        <f>SUM(N58:N59)</f>
        <v>43.1</v>
      </c>
      <c r="O60" s="1774">
        <f t="shared" si="14"/>
        <v>24.9</v>
      </c>
      <c r="P60" s="1810">
        <f t="shared" si="14"/>
        <v>15.6</v>
      </c>
      <c r="Q60" s="1806">
        <f t="shared" si="14"/>
        <v>26</v>
      </c>
      <c r="R60" s="1774">
        <f>SUM(R58:R59)</f>
        <v>26</v>
      </c>
      <c r="S60" s="1774">
        <f t="shared" si="14"/>
        <v>26</v>
      </c>
      <c r="T60" s="1810">
        <f t="shared" si="14"/>
        <v>0</v>
      </c>
      <c r="U60" s="1828">
        <f t="shared" si="14"/>
        <v>6.8000000000000007</v>
      </c>
      <c r="V60" s="1774">
        <f>SUM(V58:V59)</f>
        <v>6.8</v>
      </c>
      <c r="W60" s="1774">
        <f t="shared" si="14"/>
        <v>6.8000000000000007</v>
      </c>
      <c r="X60" s="1775">
        <f t="shared" si="14"/>
        <v>0</v>
      </c>
      <c r="Y60" s="120"/>
      <c r="Z60" s="120"/>
      <c r="AA60" s="120"/>
      <c r="AB60" s="120"/>
      <c r="AC60" s="120"/>
      <c r="AD60" s="120"/>
      <c r="AE60" s="120"/>
      <c r="AF60" s="120"/>
    </row>
    <row r="61" spans="1:32" s="121" customFormat="1" ht="21.75" customHeight="1" x14ac:dyDescent="0.2">
      <c r="A61" s="3027">
        <v>1</v>
      </c>
      <c r="B61" s="3055">
        <v>2</v>
      </c>
      <c r="C61" s="3005">
        <v>12</v>
      </c>
      <c r="D61" s="3076" t="s">
        <v>472</v>
      </c>
      <c r="E61" s="1958" t="s">
        <v>588</v>
      </c>
      <c r="F61" s="3060" t="s">
        <v>443</v>
      </c>
      <c r="G61" s="3060" t="s">
        <v>473</v>
      </c>
      <c r="H61" s="1814" t="s">
        <v>30</v>
      </c>
      <c r="I61" s="1801"/>
      <c r="J61" s="1802"/>
      <c r="K61" s="1802"/>
      <c r="L61" s="1803"/>
      <c r="M61" s="1801">
        <f t="shared" ref="M61" si="15">N61+P61</f>
        <v>31.7</v>
      </c>
      <c r="N61" s="1802">
        <v>31.7</v>
      </c>
      <c r="O61" s="1802"/>
      <c r="P61" s="1803"/>
      <c r="Q61" s="1801"/>
      <c r="R61" s="1802"/>
      <c r="S61" s="1802"/>
      <c r="T61" s="1803"/>
      <c r="U61" s="1801"/>
      <c r="V61" s="1802"/>
      <c r="W61" s="1802"/>
      <c r="X61" s="1803"/>
      <c r="Y61" s="120"/>
      <c r="Z61" s="120"/>
      <c r="AA61" s="120"/>
      <c r="AB61" s="120"/>
      <c r="AC61" s="120"/>
      <c r="AD61" s="120"/>
      <c r="AE61" s="120"/>
      <c r="AF61" s="120"/>
    </row>
    <row r="62" spans="1:32" s="121" customFormat="1" ht="21.75" customHeight="1" x14ac:dyDescent="0.2">
      <c r="A62" s="2980"/>
      <c r="B62" s="3038"/>
      <c r="C62" s="3006"/>
      <c r="D62" s="3077"/>
      <c r="E62" s="2986" t="s">
        <v>440</v>
      </c>
      <c r="F62" s="3069"/>
      <c r="G62" s="3069"/>
      <c r="H62" s="1849" t="s">
        <v>30</v>
      </c>
      <c r="I62" s="1848">
        <v>0.1</v>
      </c>
      <c r="J62" s="1818">
        <v>0.1</v>
      </c>
      <c r="K62" s="1818">
        <v>0.1</v>
      </c>
      <c r="L62" s="1819"/>
      <c r="M62" s="1848">
        <v>37.4</v>
      </c>
      <c r="N62" s="1818">
        <v>37.4</v>
      </c>
      <c r="O62" s="1818">
        <v>1</v>
      </c>
      <c r="P62" s="1819"/>
      <c r="Q62" s="1848"/>
      <c r="R62" s="1818"/>
      <c r="S62" s="1818"/>
      <c r="T62" s="1819"/>
      <c r="U62" s="1848"/>
      <c r="V62" s="1818"/>
      <c r="W62" s="1818"/>
      <c r="X62" s="1819"/>
      <c r="Y62" s="120"/>
      <c r="Z62" s="120"/>
      <c r="AA62" s="120"/>
      <c r="AB62" s="120"/>
      <c r="AC62" s="120"/>
      <c r="AD62" s="120"/>
      <c r="AE62" s="120"/>
      <c r="AF62" s="120"/>
    </row>
    <row r="63" spans="1:32" s="121" customFormat="1" ht="21.75" customHeight="1" x14ac:dyDescent="0.2">
      <c r="A63" s="2980"/>
      <c r="B63" s="3038"/>
      <c r="C63" s="3006"/>
      <c r="D63" s="3077"/>
      <c r="E63" s="2986"/>
      <c r="F63" s="3069"/>
      <c r="G63" s="3069"/>
      <c r="H63" s="1853" t="s">
        <v>454</v>
      </c>
      <c r="I63" s="1852">
        <v>3.9</v>
      </c>
      <c r="J63" s="1825">
        <v>3.9</v>
      </c>
      <c r="K63" s="1825">
        <v>0.1</v>
      </c>
      <c r="L63" s="1826"/>
      <c r="M63" s="1852">
        <v>32</v>
      </c>
      <c r="N63" s="1825">
        <v>32</v>
      </c>
      <c r="O63" s="1825">
        <v>0.4</v>
      </c>
      <c r="P63" s="1826"/>
      <c r="Q63" s="1852"/>
      <c r="R63" s="1825"/>
      <c r="S63" s="1825"/>
      <c r="T63" s="1826"/>
      <c r="U63" s="1852"/>
      <c r="V63" s="1825"/>
      <c r="W63" s="1825"/>
      <c r="X63" s="1826"/>
      <c r="Y63" s="120"/>
      <c r="Z63" s="120"/>
      <c r="AA63" s="120"/>
      <c r="AB63" s="120"/>
      <c r="AC63" s="120"/>
      <c r="AD63" s="120"/>
      <c r="AE63" s="120"/>
      <c r="AF63" s="120"/>
    </row>
    <row r="64" spans="1:32" s="121" customFormat="1" ht="21.75" customHeight="1" thickBot="1" x14ac:dyDescent="0.25">
      <c r="A64" s="2980"/>
      <c r="B64" s="3038"/>
      <c r="C64" s="3006"/>
      <c r="D64" s="3077"/>
      <c r="E64" s="2986"/>
      <c r="F64" s="3061"/>
      <c r="G64" s="3061"/>
      <c r="H64" s="1851" t="s">
        <v>455</v>
      </c>
      <c r="I64" s="1788">
        <v>22.2</v>
      </c>
      <c r="J64" s="1789">
        <v>22.2</v>
      </c>
      <c r="K64" s="1789">
        <v>0.3</v>
      </c>
      <c r="L64" s="1790"/>
      <c r="M64" s="1788">
        <v>181.1</v>
      </c>
      <c r="N64" s="1789">
        <v>181.1</v>
      </c>
      <c r="O64" s="1789">
        <v>2</v>
      </c>
      <c r="P64" s="1790"/>
      <c r="Q64" s="1788"/>
      <c r="R64" s="1789"/>
      <c r="S64" s="1789"/>
      <c r="T64" s="1790"/>
      <c r="U64" s="1788"/>
      <c r="V64" s="1789"/>
      <c r="W64" s="1789"/>
      <c r="X64" s="1790"/>
      <c r="Y64" s="120"/>
      <c r="Z64" s="120"/>
      <c r="AA64" s="120"/>
      <c r="AB64" s="120"/>
      <c r="AC64" s="120"/>
      <c r="AD64" s="120"/>
      <c r="AE64" s="120"/>
      <c r="AF64" s="120"/>
    </row>
    <row r="65" spans="1:32" s="121" customFormat="1" ht="21.75" customHeight="1" thickBot="1" x14ac:dyDescent="0.25">
      <c r="A65" s="2981"/>
      <c r="B65" s="2982"/>
      <c r="C65" s="2995"/>
      <c r="D65" s="3078"/>
      <c r="E65" s="1854"/>
      <c r="F65" s="2988" t="s">
        <v>436</v>
      </c>
      <c r="G65" s="2989"/>
      <c r="H65" s="2990"/>
      <c r="I65" s="1855">
        <f>SUM(I61:I64)</f>
        <v>26.2</v>
      </c>
      <c r="J65" s="1856">
        <f>SUM(J61:J64)</f>
        <v>26.2</v>
      </c>
      <c r="K65" s="1856">
        <f>SUM(K61:K64)</f>
        <v>0.5</v>
      </c>
      <c r="L65" s="1857">
        <f>SUM(L62:L64)</f>
        <v>0</v>
      </c>
      <c r="M65" s="1855">
        <f t="shared" ref="M65:X65" si="16">SUM(M61:M64)</f>
        <v>282.2</v>
      </c>
      <c r="N65" s="1856">
        <f t="shared" si="16"/>
        <v>282.2</v>
      </c>
      <c r="O65" s="1856">
        <f t="shared" si="16"/>
        <v>3.4</v>
      </c>
      <c r="P65" s="1856">
        <f t="shared" si="16"/>
        <v>0</v>
      </c>
      <c r="Q65" s="1855">
        <f t="shared" si="16"/>
        <v>0</v>
      </c>
      <c r="R65" s="1856">
        <f t="shared" si="16"/>
        <v>0</v>
      </c>
      <c r="S65" s="1856">
        <f t="shared" si="16"/>
        <v>0</v>
      </c>
      <c r="T65" s="1856">
        <f t="shared" si="16"/>
        <v>0</v>
      </c>
      <c r="U65" s="1855">
        <f t="shared" si="16"/>
        <v>0</v>
      </c>
      <c r="V65" s="1856">
        <f t="shared" si="16"/>
        <v>0</v>
      </c>
      <c r="W65" s="1856">
        <f t="shared" si="16"/>
        <v>0</v>
      </c>
      <c r="X65" s="1858">
        <f t="shared" si="16"/>
        <v>0</v>
      </c>
      <c r="Y65" s="120"/>
      <c r="Z65" s="120"/>
      <c r="AA65" s="120"/>
      <c r="AB65" s="120"/>
      <c r="AC65" s="120"/>
      <c r="AD65" s="120"/>
      <c r="AE65" s="120"/>
      <c r="AF65" s="120"/>
    </row>
    <row r="66" spans="1:32" s="121" customFormat="1" ht="21.75" customHeight="1" thickBot="1" x14ac:dyDescent="0.25">
      <c r="A66" s="3027">
        <v>1</v>
      </c>
      <c r="B66" s="3055">
        <v>2</v>
      </c>
      <c r="C66" s="3006">
        <v>13</v>
      </c>
      <c r="D66" s="3077" t="s">
        <v>1346</v>
      </c>
      <c r="E66" s="3066" t="s">
        <v>1347</v>
      </c>
      <c r="F66" s="2369" t="s">
        <v>443</v>
      </c>
      <c r="G66" s="2369" t="s">
        <v>1348</v>
      </c>
      <c r="H66" s="1814" t="s">
        <v>454</v>
      </c>
      <c r="I66" s="1801"/>
      <c r="J66" s="1802"/>
      <c r="K66" s="1802"/>
      <c r="L66" s="1803"/>
      <c r="M66" s="1801">
        <f t="shared" ref="M66" si="17">N66+P66</f>
        <v>37.4</v>
      </c>
      <c r="N66" s="1802">
        <v>37.4</v>
      </c>
      <c r="O66" s="1802">
        <v>15.1</v>
      </c>
      <c r="P66" s="1803"/>
      <c r="Q66" s="1801">
        <f t="shared" ref="Q66" si="18">R66+T66</f>
        <v>42.4</v>
      </c>
      <c r="R66" s="1802">
        <v>42.4</v>
      </c>
      <c r="S66" s="1802">
        <v>36.5</v>
      </c>
      <c r="T66" s="1803"/>
      <c r="U66" s="1801"/>
      <c r="V66" s="1802"/>
      <c r="W66" s="1802"/>
      <c r="X66" s="1803"/>
      <c r="Y66" s="120"/>
      <c r="Z66" s="120"/>
      <c r="AA66" s="120"/>
      <c r="AB66" s="120"/>
      <c r="AC66" s="120"/>
      <c r="AD66" s="120"/>
      <c r="AE66" s="120"/>
      <c r="AF66" s="120"/>
    </row>
    <row r="67" spans="1:32" s="121" customFormat="1" ht="21.75" customHeight="1" thickBot="1" x14ac:dyDescent="0.25">
      <c r="A67" s="2981"/>
      <c r="B67" s="2982"/>
      <c r="C67" s="3040"/>
      <c r="D67" s="3079"/>
      <c r="E67" s="3080"/>
      <c r="F67" s="2988" t="s">
        <v>436</v>
      </c>
      <c r="G67" s="2989"/>
      <c r="H67" s="2990"/>
      <c r="I67" s="1855">
        <f>SUM(I66:I66)</f>
        <v>0</v>
      </c>
      <c r="J67" s="1856">
        <f>SUM(J66:J66)</f>
        <v>0</v>
      </c>
      <c r="K67" s="1856">
        <f t="shared" ref="K67:L67" si="19">SUM(K66:K66)</f>
        <v>0</v>
      </c>
      <c r="L67" s="1856">
        <f t="shared" si="19"/>
        <v>0</v>
      </c>
      <c r="M67" s="1855">
        <f>SUM(M66:M66)</f>
        <v>37.4</v>
      </c>
      <c r="N67" s="1856">
        <f>SUM(N66:N66)</f>
        <v>37.4</v>
      </c>
      <c r="O67" s="1856">
        <f t="shared" ref="O67" si="20">SUM(O66:O66)</f>
        <v>15.1</v>
      </c>
      <c r="P67" s="1856">
        <f t="shared" ref="P67" si="21">SUM(P66:P66)</f>
        <v>0</v>
      </c>
      <c r="Q67" s="1855">
        <f>SUM(Q66:Q66)</f>
        <v>42.4</v>
      </c>
      <c r="R67" s="1856">
        <f>SUM(R66:R66)</f>
        <v>42.4</v>
      </c>
      <c r="S67" s="1856">
        <f t="shared" ref="S67" si="22">SUM(S66:S66)</f>
        <v>36.5</v>
      </c>
      <c r="T67" s="1856">
        <f t="shared" ref="T67" si="23">SUM(T66:T66)</f>
        <v>0</v>
      </c>
      <c r="U67" s="1855">
        <f>SUM(U66:U66)</f>
        <v>0</v>
      </c>
      <c r="V67" s="1856">
        <f>SUM(V66:V66)</f>
        <v>0</v>
      </c>
      <c r="W67" s="1856">
        <f>SUM(W66:W66)</f>
        <v>0</v>
      </c>
      <c r="X67" s="1858">
        <f>SUM(X66:X66)</f>
        <v>0</v>
      </c>
      <c r="Y67" s="120"/>
      <c r="Z67" s="120"/>
      <c r="AA67" s="120"/>
      <c r="AB67" s="120"/>
      <c r="AC67" s="120"/>
      <c r="AD67" s="120"/>
      <c r="AE67" s="120"/>
      <c r="AF67" s="120"/>
    </row>
    <row r="68" spans="1:32" s="122" customFormat="1" ht="13.5" customHeight="1" thickBot="1" x14ac:dyDescent="0.25">
      <c r="A68" s="1949">
        <v>1</v>
      </c>
      <c r="B68" s="1859">
        <v>2</v>
      </c>
      <c r="C68" s="3032" t="s">
        <v>234</v>
      </c>
      <c r="D68" s="3033"/>
      <c r="E68" s="3033"/>
      <c r="F68" s="3073"/>
      <c r="G68" s="3073"/>
      <c r="H68" s="3074"/>
      <c r="I68" s="1798">
        <f>L68+J68</f>
        <v>1185.0999999999999</v>
      </c>
      <c r="J68" s="1860">
        <f>SUM(J29,J31,J35,J43,J46,J48,J50,J53,J57,J60,J65,J67)</f>
        <v>1170.3999999999999</v>
      </c>
      <c r="K68" s="1860">
        <f t="shared" ref="K68:L68" si="24">SUM(K29,K31,K35,K43,K46,K48,K50,K53,K57,K60,K65,K67)</f>
        <v>826.19999999999982</v>
      </c>
      <c r="L68" s="1861">
        <f t="shared" si="24"/>
        <v>14.7</v>
      </c>
      <c r="M68" s="1798">
        <f>P68+N68</f>
        <v>1786.2999999999997</v>
      </c>
      <c r="N68" s="1860">
        <f>SUM(N29,N31,N35,N43,N46,N48,N50,N53,N57,N60,N65,N67)</f>
        <v>1766.6999999999998</v>
      </c>
      <c r="O68" s="1860">
        <f t="shared" ref="O68" si="25">SUM(O29,O31,O35,O43,O46,O48,O50,O53,O57,O60,O65,O67)</f>
        <v>1106.2</v>
      </c>
      <c r="P68" s="1861">
        <f t="shared" ref="P68" si="26">SUM(P29,P31,P35,P43,P46,P48,P50,P53,P57,P60,P65,P67)</f>
        <v>19.600000000000001</v>
      </c>
      <c r="Q68" s="1798">
        <f>T68+R68</f>
        <v>1353.7000000000003</v>
      </c>
      <c r="R68" s="1860">
        <f>SUM(R29,R31,R35,R43,R46,R48,R50,R53,R57,R60,R65,R67)</f>
        <v>1353.7000000000003</v>
      </c>
      <c r="S68" s="1860">
        <f t="shared" ref="S68" si="27">SUM(S29,S31,S35,S43,S46,S48,S50,S53,S57,S60,S65,S67)</f>
        <v>1041.3000000000002</v>
      </c>
      <c r="T68" s="1861">
        <f t="shared" ref="T68" si="28">SUM(T29,T31,T35,T43,T46,T48,T50,T53,T57,T60,T65,T67)</f>
        <v>0</v>
      </c>
      <c r="U68" s="1798">
        <f>X68+V68</f>
        <v>1302.1000000000001</v>
      </c>
      <c r="V68" s="1860">
        <f>SUM(V29,V31,V35,V43,V46,V48,V50,V53,V57,V60,V65,V67)</f>
        <v>1302.1000000000001</v>
      </c>
      <c r="W68" s="1860">
        <f t="shared" ref="W68" si="29">SUM(W29,W31,W35,W43,W46,W48,W50,W53,W57,W60,W65,W67)</f>
        <v>990.6</v>
      </c>
      <c r="X68" s="2370">
        <f t="shared" ref="X68" si="30">SUM(X29,X31,X35,X43,X46,X48,X50,X53,X57,X60,X65,X67)</f>
        <v>0</v>
      </c>
      <c r="Y68" s="120"/>
      <c r="Z68" s="120"/>
      <c r="AA68" s="120"/>
      <c r="AB68" s="120"/>
      <c r="AC68" s="120"/>
      <c r="AD68" s="120"/>
      <c r="AE68" s="120"/>
      <c r="AF68" s="120"/>
    </row>
    <row r="69" spans="1:32" s="122" customFormat="1" ht="13.5" customHeight="1" thickBot="1" x14ac:dyDescent="0.25">
      <c r="A69" s="1949">
        <v>1</v>
      </c>
      <c r="B69" s="1956">
        <v>3</v>
      </c>
      <c r="C69" s="3035" t="s">
        <v>474</v>
      </c>
      <c r="D69" s="3036"/>
      <c r="E69" s="3036"/>
      <c r="F69" s="3036"/>
      <c r="G69" s="3036"/>
      <c r="H69" s="3036"/>
      <c r="I69" s="3036"/>
      <c r="J69" s="3036"/>
      <c r="K69" s="3036"/>
      <c r="L69" s="3036"/>
      <c r="M69" s="3036"/>
      <c r="N69" s="3036"/>
      <c r="O69" s="3036"/>
      <c r="P69" s="3036"/>
      <c r="Q69" s="3036"/>
      <c r="R69" s="3036"/>
      <c r="S69" s="3036"/>
      <c r="T69" s="3036"/>
      <c r="U69" s="3036"/>
      <c r="V69" s="3036"/>
      <c r="W69" s="3036"/>
      <c r="X69" s="3037"/>
      <c r="Y69" s="120"/>
      <c r="Z69" s="120"/>
      <c r="AA69" s="120"/>
      <c r="AB69" s="120"/>
      <c r="AC69" s="120"/>
      <c r="AD69" s="120"/>
      <c r="AE69" s="120"/>
      <c r="AF69" s="120"/>
    </row>
    <row r="70" spans="1:32" s="120" customFormat="1" ht="32.1" customHeight="1" thickBot="1" x14ac:dyDescent="0.25">
      <c r="A70" s="3027">
        <v>1</v>
      </c>
      <c r="B70" s="3028">
        <v>3</v>
      </c>
      <c r="C70" s="2984">
        <v>1</v>
      </c>
      <c r="D70" s="2985" t="s">
        <v>475</v>
      </c>
      <c r="E70" s="2986" t="s">
        <v>476</v>
      </c>
      <c r="F70" s="1767" t="s">
        <v>477</v>
      </c>
      <c r="G70" s="1974" t="s">
        <v>478</v>
      </c>
      <c r="H70" s="1957" t="s">
        <v>30</v>
      </c>
      <c r="I70" s="1769">
        <f t="shared" ref="I70" si="31">J70+L70</f>
        <v>31.2</v>
      </c>
      <c r="J70" s="1770">
        <v>31.2</v>
      </c>
      <c r="K70" s="1770">
        <v>30.7</v>
      </c>
      <c r="L70" s="1771"/>
      <c r="M70" s="1769"/>
      <c r="N70" s="1770"/>
      <c r="O70" s="1770"/>
      <c r="P70" s="1771"/>
      <c r="Q70" s="1769"/>
      <c r="R70" s="1770"/>
      <c r="S70" s="1770"/>
      <c r="T70" s="1771"/>
      <c r="U70" s="1769"/>
      <c r="V70" s="1770"/>
      <c r="W70" s="1770"/>
      <c r="X70" s="1771"/>
    </row>
    <row r="71" spans="1:32" s="121" customFormat="1" ht="18.600000000000001" customHeight="1" thickBot="1" x14ac:dyDescent="0.25">
      <c r="A71" s="2981"/>
      <c r="B71" s="3029"/>
      <c r="C71" s="2984"/>
      <c r="D71" s="2985"/>
      <c r="E71" s="2987"/>
      <c r="F71" s="3075" t="s">
        <v>436</v>
      </c>
      <c r="G71" s="2989"/>
      <c r="H71" s="2990"/>
      <c r="I71" s="1862">
        <f>J71+L71</f>
        <v>31.2</v>
      </c>
      <c r="J71" s="1863">
        <f>J70</f>
        <v>31.2</v>
      </c>
      <c r="K71" s="1863">
        <v>30.7</v>
      </c>
      <c r="L71" s="1863">
        <f t="shared" ref="L71" si="32">L70</f>
        <v>0</v>
      </c>
      <c r="M71" s="1862"/>
      <c r="N71" s="1863"/>
      <c r="O71" s="1863"/>
      <c r="P71" s="1863"/>
      <c r="Q71" s="1862"/>
      <c r="R71" s="1863"/>
      <c r="S71" s="1863"/>
      <c r="T71" s="1863"/>
      <c r="U71" s="1862"/>
      <c r="V71" s="1863"/>
      <c r="W71" s="1863"/>
      <c r="X71" s="1830">
        <f t="shared" ref="X71" si="33">X70</f>
        <v>0</v>
      </c>
      <c r="Y71" s="120"/>
      <c r="Z71" s="120"/>
      <c r="AA71" s="120"/>
      <c r="AB71" s="120"/>
      <c r="AC71" s="120"/>
      <c r="AD71" s="120"/>
      <c r="AE71" s="120"/>
      <c r="AF71" s="120"/>
    </row>
    <row r="72" spans="1:32" s="120" customFormat="1" ht="14.65" customHeight="1" x14ac:dyDescent="0.2">
      <c r="A72" s="3027">
        <v>1</v>
      </c>
      <c r="B72" s="3055">
        <v>3</v>
      </c>
      <c r="C72" s="3005">
        <v>2</v>
      </c>
      <c r="D72" s="3007" t="s">
        <v>479</v>
      </c>
      <c r="E72" s="2987" t="s">
        <v>476</v>
      </c>
      <c r="F72" s="3060" t="s">
        <v>480</v>
      </c>
      <c r="G72" s="3081" t="s">
        <v>481</v>
      </c>
      <c r="H72" s="1864" t="s">
        <v>30</v>
      </c>
      <c r="I72" s="1813"/>
      <c r="J72" s="1865"/>
      <c r="K72" s="1865"/>
      <c r="L72" s="1866"/>
      <c r="M72" s="1813">
        <f>N72+P72</f>
        <v>0</v>
      </c>
      <c r="N72" s="1865"/>
      <c r="O72" s="1865"/>
      <c r="P72" s="1866"/>
      <c r="Q72" s="1813"/>
      <c r="R72" s="1865"/>
      <c r="S72" s="1865"/>
      <c r="T72" s="1809"/>
      <c r="U72" s="1813"/>
      <c r="V72" s="1865"/>
      <c r="W72" s="1865"/>
      <c r="X72" s="1866"/>
      <c r="Y72" s="1969"/>
    </row>
    <row r="73" spans="1:32" s="120" customFormat="1" ht="23.25" customHeight="1" x14ac:dyDescent="0.2">
      <c r="A73" s="2980"/>
      <c r="B73" s="3038"/>
      <c r="C73" s="3006"/>
      <c r="D73" s="3008"/>
      <c r="E73" s="2987"/>
      <c r="F73" s="3069"/>
      <c r="G73" s="3012"/>
      <c r="H73" s="1867" t="s">
        <v>99</v>
      </c>
      <c r="I73" s="1868">
        <f>J73+L73</f>
        <v>50</v>
      </c>
      <c r="J73" s="1869"/>
      <c r="K73" s="1869"/>
      <c r="L73" s="1870">
        <v>50</v>
      </c>
      <c r="M73" s="1868"/>
      <c r="N73" s="1869"/>
      <c r="O73" s="1869"/>
      <c r="P73" s="1870"/>
      <c r="Q73" s="1848"/>
      <c r="R73" s="1871"/>
      <c r="S73" s="1871"/>
      <c r="T73" s="1872"/>
      <c r="U73" s="1848"/>
      <c r="V73" s="1871"/>
      <c r="W73" s="1871"/>
      <c r="X73" s="1873"/>
      <c r="Y73" s="1874"/>
    </row>
    <row r="74" spans="1:32" s="120" customFormat="1" ht="12" customHeight="1" thickBot="1" x14ac:dyDescent="0.25">
      <c r="A74" s="2980"/>
      <c r="B74" s="3038"/>
      <c r="C74" s="3006"/>
      <c r="D74" s="3008"/>
      <c r="E74" s="2987"/>
      <c r="F74" s="3061"/>
      <c r="G74" s="3080"/>
      <c r="H74" s="1875" t="s">
        <v>202</v>
      </c>
      <c r="I74" s="1791">
        <v>50</v>
      </c>
      <c r="J74" s="1835"/>
      <c r="K74" s="1835"/>
      <c r="L74" s="1975">
        <v>50</v>
      </c>
      <c r="M74" s="1791"/>
      <c r="N74" s="1835"/>
      <c r="O74" s="1835"/>
      <c r="P74" s="1975"/>
      <c r="Q74" s="1791"/>
      <c r="R74" s="1835"/>
      <c r="S74" s="1835"/>
      <c r="T74" s="1836"/>
      <c r="U74" s="1791"/>
      <c r="V74" s="1835"/>
      <c r="W74" s="1835"/>
      <c r="X74" s="1876"/>
    </row>
    <row r="75" spans="1:32" s="121" customFormat="1" ht="12.6" customHeight="1" thickBot="1" x14ac:dyDescent="0.25">
      <c r="A75" s="2981"/>
      <c r="B75" s="2982"/>
      <c r="C75" s="2995"/>
      <c r="D75" s="3008"/>
      <c r="E75" s="2987"/>
      <c r="F75" s="3062" t="s">
        <v>436</v>
      </c>
      <c r="G75" s="2989"/>
      <c r="H75" s="2990"/>
      <c r="I75" s="1773">
        <f>SUM(I73:I74)</f>
        <v>100</v>
      </c>
      <c r="J75" s="1774">
        <f>J72</f>
        <v>0</v>
      </c>
      <c r="K75" s="1774">
        <f>K72</f>
        <v>0</v>
      </c>
      <c r="L75" s="1774">
        <v>100</v>
      </c>
      <c r="M75" s="1773"/>
      <c r="N75" s="1774"/>
      <c r="O75" s="1774"/>
      <c r="P75" s="1774"/>
      <c r="Q75" s="1773"/>
      <c r="R75" s="1774"/>
      <c r="S75" s="1774"/>
      <c r="T75" s="1774"/>
      <c r="U75" s="1773"/>
      <c r="V75" s="1774"/>
      <c r="W75" s="1774"/>
      <c r="X75" s="1775">
        <f>X72</f>
        <v>0</v>
      </c>
      <c r="Y75" s="120"/>
      <c r="Z75" s="120"/>
      <c r="AA75" s="120"/>
      <c r="AB75" s="120"/>
      <c r="AC75" s="120"/>
      <c r="AD75" s="120"/>
      <c r="AE75" s="120"/>
      <c r="AF75" s="120"/>
    </row>
    <row r="76" spans="1:32" s="124" customFormat="1" ht="16.5" customHeight="1" x14ac:dyDescent="0.2">
      <c r="A76" s="3085">
        <v>1</v>
      </c>
      <c r="B76" s="3088">
        <v>3</v>
      </c>
      <c r="C76" s="3091">
        <v>3</v>
      </c>
      <c r="D76" s="3007" t="s">
        <v>482</v>
      </c>
      <c r="E76" s="3064" t="s">
        <v>476</v>
      </c>
      <c r="F76" s="3060" t="s">
        <v>483</v>
      </c>
      <c r="G76" s="3060" t="s">
        <v>484</v>
      </c>
      <c r="H76" s="1800" t="s">
        <v>30</v>
      </c>
      <c r="I76" s="1813"/>
      <c r="J76" s="1808"/>
      <c r="K76" s="1808"/>
      <c r="L76" s="1809"/>
      <c r="M76" s="1813"/>
      <c r="N76" s="1808"/>
      <c r="O76" s="1808"/>
      <c r="P76" s="1809"/>
      <c r="Q76" s="1813">
        <v>160.19999999999999</v>
      </c>
      <c r="R76" s="1808"/>
      <c r="S76" s="1808"/>
      <c r="T76" s="1809">
        <v>160.19999999999999</v>
      </c>
      <c r="U76" s="1813">
        <v>110</v>
      </c>
      <c r="V76" s="1808"/>
      <c r="W76" s="1808"/>
      <c r="X76" s="1809">
        <v>110</v>
      </c>
      <c r="Y76" s="3059"/>
      <c r="Z76" s="120"/>
      <c r="AA76" s="120"/>
      <c r="AB76" s="120"/>
      <c r="AC76" s="120"/>
      <c r="AD76" s="120"/>
      <c r="AE76" s="120"/>
      <c r="AF76" s="120"/>
    </row>
    <row r="77" spans="1:32" s="121" customFormat="1" ht="18.600000000000001" customHeight="1" thickBot="1" x14ac:dyDescent="0.25">
      <c r="A77" s="3086"/>
      <c r="B77" s="3089"/>
      <c r="C77" s="3092"/>
      <c r="D77" s="3008"/>
      <c r="E77" s="3039"/>
      <c r="F77" s="3069"/>
      <c r="G77" s="3069"/>
      <c r="H77" s="1841" t="s">
        <v>202</v>
      </c>
      <c r="I77" s="1789"/>
      <c r="J77" s="1789"/>
      <c r="K77" s="1877"/>
      <c r="L77" s="1790"/>
      <c r="M77" s="1788"/>
      <c r="N77" s="1789"/>
      <c r="O77" s="1789"/>
      <c r="P77" s="1790"/>
      <c r="Q77" s="1788">
        <v>187.7</v>
      </c>
      <c r="R77" s="1789"/>
      <c r="S77" s="1789"/>
      <c r="T77" s="1790">
        <v>187.7</v>
      </c>
      <c r="U77" s="1788">
        <v>110</v>
      </c>
      <c r="V77" s="1789"/>
      <c r="W77" s="1789"/>
      <c r="X77" s="1790">
        <v>110</v>
      </c>
      <c r="Y77" s="3059"/>
      <c r="Z77" s="120"/>
      <c r="AA77" s="120"/>
      <c r="AB77" s="120"/>
      <c r="AC77" s="120"/>
      <c r="AD77" s="120"/>
      <c r="AE77" s="120"/>
      <c r="AF77" s="120"/>
    </row>
    <row r="78" spans="1:32" s="121" customFormat="1" ht="21.6" customHeight="1" thickBot="1" x14ac:dyDescent="0.25">
      <c r="A78" s="3087"/>
      <c r="B78" s="3090"/>
      <c r="C78" s="3093"/>
      <c r="D78" s="3009"/>
      <c r="E78" s="3065"/>
      <c r="F78" s="3082" t="s">
        <v>436</v>
      </c>
      <c r="G78" s="3083"/>
      <c r="H78" s="3084"/>
      <c r="I78" s="1816"/>
      <c r="J78" s="1863"/>
      <c r="K78" s="1863"/>
      <c r="L78" s="1830"/>
      <c r="M78" s="1816"/>
      <c r="N78" s="1878"/>
      <c r="O78" s="1863"/>
      <c r="P78" s="1879"/>
      <c r="Q78" s="1862">
        <f t="shared" ref="Q78:T78" si="34">SUM(Q76:Q77)</f>
        <v>347.9</v>
      </c>
      <c r="R78" s="1863">
        <f t="shared" si="34"/>
        <v>0</v>
      </c>
      <c r="S78" s="1878">
        <f t="shared" si="34"/>
        <v>0</v>
      </c>
      <c r="T78" s="1880">
        <f t="shared" si="34"/>
        <v>347.9</v>
      </c>
      <c r="U78" s="1862">
        <v>220</v>
      </c>
      <c r="V78" s="1863"/>
      <c r="W78" s="1878"/>
      <c r="X78" s="1830">
        <v>220</v>
      </c>
      <c r="Y78" s="3059"/>
      <c r="Z78" s="120"/>
      <c r="AA78" s="120"/>
      <c r="AB78" s="120"/>
      <c r="AC78" s="120"/>
      <c r="AD78" s="120"/>
      <c r="AE78" s="120"/>
      <c r="AF78" s="120"/>
    </row>
    <row r="79" spans="1:32" s="121" customFormat="1" ht="22.5" customHeight="1" x14ac:dyDescent="0.2">
      <c r="A79" s="3085">
        <v>1</v>
      </c>
      <c r="B79" s="3088">
        <v>3</v>
      </c>
      <c r="C79" s="3091">
        <v>4</v>
      </c>
      <c r="D79" s="3007" t="s">
        <v>485</v>
      </c>
      <c r="E79" s="3064" t="s">
        <v>476</v>
      </c>
      <c r="F79" s="3060" t="s">
        <v>480</v>
      </c>
      <c r="G79" s="3094" t="s">
        <v>486</v>
      </c>
      <c r="H79" s="1800" t="s">
        <v>30</v>
      </c>
      <c r="I79" s="1813">
        <v>28.8</v>
      </c>
      <c r="J79" s="1881"/>
      <c r="K79" s="1881"/>
      <c r="L79" s="1809">
        <v>28.8</v>
      </c>
      <c r="M79" s="1882"/>
      <c r="N79" s="1881"/>
      <c r="O79" s="1881"/>
      <c r="P79" s="1883"/>
      <c r="Q79" s="1884"/>
      <c r="R79" s="1885"/>
      <c r="S79" s="1885"/>
      <c r="T79" s="1886"/>
      <c r="U79" s="1813"/>
      <c r="V79" s="1808"/>
      <c r="W79" s="1808"/>
      <c r="X79" s="1809"/>
      <c r="Y79" s="3067"/>
      <c r="Z79" s="120"/>
      <c r="AA79" s="120"/>
      <c r="AB79" s="120"/>
      <c r="AC79" s="120"/>
      <c r="AD79" s="120"/>
      <c r="AE79" s="120"/>
      <c r="AF79" s="120"/>
    </row>
    <row r="80" spans="1:32" s="121" customFormat="1" ht="20.25" customHeight="1" thickBot="1" x14ac:dyDescent="0.25">
      <c r="A80" s="3086"/>
      <c r="B80" s="3089"/>
      <c r="C80" s="3092"/>
      <c r="D80" s="3008"/>
      <c r="E80" s="3039"/>
      <c r="F80" s="3061"/>
      <c r="G80" s="3095"/>
      <c r="H80" s="1875" t="s">
        <v>202</v>
      </c>
      <c r="I80" s="1887">
        <v>129.69999999999999</v>
      </c>
      <c r="J80" s="1888"/>
      <c r="K80" s="1888"/>
      <c r="L80" s="1889">
        <v>129.69999999999999</v>
      </c>
      <c r="M80" s="1887"/>
      <c r="N80" s="1888"/>
      <c r="O80" s="1888"/>
      <c r="P80" s="1889"/>
      <c r="Q80" s="1890"/>
      <c r="R80" s="1891"/>
      <c r="S80" s="1891"/>
      <c r="T80" s="1892"/>
      <c r="U80" s="1791"/>
      <c r="V80" s="1792"/>
      <c r="W80" s="1792"/>
      <c r="X80" s="1793"/>
      <c r="Y80" s="3067"/>
      <c r="Z80" s="120"/>
      <c r="AA80" s="120"/>
      <c r="AB80" s="120"/>
      <c r="AC80" s="120"/>
      <c r="AD80" s="120"/>
      <c r="AE80" s="120"/>
      <c r="AF80" s="120"/>
    </row>
    <row r="81" spans="1:32" s="121" customFormat="1" ht="15" customHeight="1" thickBot="1" x14ac:dyDescent="0.25">
      <c r="A81" s="3087"/>
      <c r="B81" s="3090"/>
      <c r="C81" s="3093"/>
      <c r="D81" s="3009"/>
      <c r="E81" s="3065"/>
      <c r="F81" s="3082" t="s">
        <v>436</v>
      </c>
      <c r="G81" s="3083"/>
      <c r="H81" s="3084"/>
      <c r="I81" s="1816">
        <f>SUM(I79:I80)</f>
        <v>158.5</v>
      </c>
      <c r="J81" s="1863">
        <f t="shared" ref="J81:X81" si="35">SUM(J79:J80)</f>
        <v>0</v>
      </c>
      <c r="K81" s="1863">
        <f t="shared" si="35"/>
        <v>0</v>
      </c>
      <c r="L81" s="1880">
        <f t="shared" si="35"/>
        <v>158.5</v>
      </c>
      <c r="M81" s="1816">
        <f t="shared" si="35"/>
        <v>0</v>
      </c>
      <c r="N81" s="1863">
        <f t="shared" si="35"/>
        <v>0</v>
      </c>
      <c r="O81" s="1863">
        <f t="shared" si="35"/>
        <v>0</v>
      </c>
      <c r="P81" s="1880">
        <f t="shared" si="35"/>
        <v>0</v>
      </c>
      <c r="Q81" s="1816">
        <f t="shared" si="35"/>
        <v>0</v>
      </c>
      <c r="R81" s="1893">
        <f t="shared" si="35"/>
        <v>0</v>
      </c>
      <c r="S81" s="1893">
        <f t="shared" si="35"/>
        <v>0</v>
      </c>
      <c r="T81" s="1894">
        <f t="shared" si="35"/>
        <v>0</v>
      </c>
      <c r="U81" s="1895">
        <f t="shared" si="35"/>
        <v>0</v>
      </c>
      <c r="V81" s="1893">
        <f t="shared" si="35"/>
        <v>0</v>
      </c>
      <c r="W81" s="1893">
        <f t="shared" si="35"/>
        <v>0</v>
      </c>
      <c r="X81" s="1896">
        <f t="shared" si="35"/>
        <v>0</v>
      </c>
      <c r="Y81" s="3067"/>
      <c r="Z81" s="120"/>
      <c r="AA81" s="120"/>
      <c r="AB81" s="120"/>
      <c r="AC81" s="120"/>
      <c r="AD81" s="120"/>
      <c r="AE81" s="120"/>
      <c r="AF81" s="120"/>
    </row>
    <row r="82" spans="1:32" s="121" customFormat="1" ht="26.1" customHeight="1" x14ac:dyDescent="0.2">
      <c r="A82" s="3101">
        <v>1</v>
      </c>
      <c r="B82" s="3028">
        <v>3</v>
      </c>
      <c r="C82" s="3005">
        <v>5</v>
      </c>
      <c r="D82" s="3076" t="s">
        <v>1339</v>
      </c>
      <c r="E82" s="1987" t="s">
        <v>588</v>
      </c>
      <c r="F82" s="3060" t="s">
        <v>477</v>
      </c>
      <c r="G82" s="3060" t="s">
        <v>488</v>
      </c>
      <c r="H82" s="1841" t="s">
        <v>30</v>
      </c>
      <c r="I82" s="1813"/>
      <c r="J82" s="1808"/>
      <c r="K82" s="1808"/>
      <c r="L82" s="1989"/>
      <c r="M82" s="2018">
        <v>9.1999999999999993</v>
      </c>
      <c r="N82" s="2019">
        <v>9.1999999999999993</v>
      </c>
      <c r="O82" s="1808"/>
      <c r="P82" s="1989"/>
      <c r="Q82" s="1813"/>
      <c r="R82" s="1808"/>
      <c r="S82" s="1808"/>
      <c r="T82" s="1989"/>
      <c r="U82" s="1813"/>
      <c r="V82" s="1808"/>
      <c r="W82" s="1808"/>
      <c r="X82" s="1809"/>
      <c r="Y82" s="3059"/>
      <c r="Z82" s="120"/>
      <c r="AA82" s="120"/>
      <c r="AB82" s="120"/>
      <c r="AC82" s="120"/>
      <c r="AD82" s="120"/>
      <c r="AE82" s="120"/>
      <c r="AF82" s="120"/>
    </row>
    <row r="83" spans="1:32" s="121" customFormat="1" ht="26.1" customHeight="1" thickBot="1" x14ac:dyDescent="0.25">
      <c r="A83" s="3102"/>
      <c r="B83" s="3048"/>
      <c r="C83" s="3006"/>
      <c r="D83" s="3077"/>
      <c r="E83" s="1987" t="s">
        <v>487</v>
      </c>
      <c r="F83" s="3061"/>
      <c r="G83" s="3061"/>
      <c r="H83" s="1841" t="s">
        <v>30</v>
      </c>
      <c r="I83" s="1769">
        <v>4.8</v>
      </c>
      <c r="J83" s="1770">
        <v>4.8</v>
      </c>
      <c r="K83" s="1770"/>
      <c r="L83" s="1836"/>
      <c r="M83" s="2020">
        <v>40.799999999999997</v>
      </c>
      <c r="N83" s="2042">
        <v>40.799999999999997</v>
      </c>
      <c r="O83" s="1770"/>
      <c r="P83" s="1836"/>
      <c r="Q83" s="1769"/>
      <c r="R83" s="1770"/>
      <c r="S83" s="1770"/>
      <c r="T83" s="1836"/>
      <c r="U83" s="1791"/>
      <c r="V83" s="1792"/>
      <c r="W83" s="1792"/>
      <c r="X83" s="1793"/>
      <c r="Y83" s="3059"/>
      <c r="Z83" s="120"/>
      <c r="AA83" s="120"/>
      <c r="AB83" s="120"/>
      <c r="AC83" s="120"/>
      <c r="AD83" s="120"/>
      <c r="AE83" s="120"/>
      <c r="AF83" s="120"/>
    </row>
    <row r="84" spans="1:32" s="121" customFormat="1" ht="21.75" customHeight="1" thickBot="1" x14ac:dyDescent="0.25">
      <c r="A84" s="3103"/>
      <c r="B84" s="3029"/>
      <c r="C84" s="2995"/>
      <c r="D84" s="3078"/>
      <c r="E84" s="1988"/>
      <c r="F84" s="2988" t="s">
        <v>436</v>
      </c>
      <c r="G84" s="2989"/>
      <c r="H84" s="2990"/>
      <c r="I84" s="1816">
        <f>SUM(I82:I83)</f>
        <v>4.8</v>
      </c>
      <c r="J84" s="1863">
        <f t="shared" ref="J84:L84" si="36">SUM(J82:J83)</f>
        <v>4.8</v>
      </c>
      <c r="K84" s="1863">
        <f t="shared" si="36"/>
        <v>0</v>
      </c>
      <c r="L84" s="1880">
        <f t="shared" si="36"/>
        <v>0</v>
      </c>
      <c r="M84" s="1816">
        <f>SUM(M82:M83)</f>
        <v>50</v>
      </c>
      <c r="N84" s="1863">
        <f t="shared" ref="N84:P84" si="37">SUM(N82:N83)</f>
        <v>50</v>
      </c>
      <c r="O84" s="1863">
        <f t="shared" si="37"/>
        <v>0</v>
      </c>
      <c r="P84" s="1880">
        <f t="shared" si="37"/>
        <v>0</v>
      </c>
      <c r="Q84" s="1816">
        <f>SUM(Q82:Q83)</f>
        <v>0</v>
      </c>
      <c r="R84" s="1863">
        <f t="shared" ref="R84:T84" si="38">SUM(R82:R83)</f>
        <v>0</v>
      </c>
      <c r="S84" s="1863">
        <f t="shared" si="38"/>
        <v>0</v>
      </c>
      <c r="T84" s="1880">
        <f t="shared" si="38"/>
        <v>0</v>
      </c>
      <c r="U84" s="1816">
        <f>SUM(U82:U83)</f>
        <v>0</v>
      </c>
      <c r="V84" s="1863">
        <f t="shared" ref="V84:X84" si="39">SUM(V82:V83)</f>
        <v>0</v>
      </c>
      <c r="W84" s="1863">
        <f t="shared" si="39"/>
        <v>0</v>
      </c>
      <c r="X84" s="1830">
        <f t="shared" si="39"/>
        <v>0</v>
      </c>
      <c r="Y84" s="3059"/>
      <c r="Z84" s="120"/>
      <c r="AA84" s="120"/>
      <c r="AB84" s="120"/>
      <c r="AC84" s="120"/>
      <c r="AD84" s="120"/>
      <c r="AE84" s="120"/>
      <c r="AF84" s="120"/>
    </row>
    <row r="85" spans="1:32" s="121" customFormat="1" ht="21.6" customHeight="1" thickBot="1" x14ac:dyDescent="0.25">
      <c r="A85" s="3096">
        <v>1</v>
      </c>
      <c r="B85" s="3098">
        <v>3</v>
      </c>
      <c r="C85" s="3100">
        <v>6</v>
      </c>
      <c r="D85" s="3007" t="s">
        <v>489</v>
      </c>
      <c r="E85" s="3064" t="s">
        <v>487</v>
      </c>
      <c r="F85" s="1897" t="s">
        <v>490</v>
      </c>
      <c r="G85" s="1961" t="s">
        <v>491</v>
      </c>
      <c r="H85" s="1903" t="s">
        <v>30</v>
      </c>
      <c r="I85" s="1769"/>
      <c r="J85" s="1898"/>
      <c r="K85" s="1898"/>
      <c r="L85" s="1899"/>
      <c r="M85" s="1904"/>
      <c r="N85" s="1905"/>
      <c r="O85" s="1901"/>
      <c r="P85" s="1906"/>
      <c r="Q85" s="1904">
        <v>71.900000000000006</v>
      </c>
      <c r="R85" s="1905"/>
      <c r="S85" s="1901"/>
      <c r="T85" s="1906">
        <v>71.900000000000006</v>
      </c>
      <c r="U85" s="1900"/>
      <c r="V85" s="1901"/>
      <c r="W85" s="1901"/>
      <c r="X85" s="1902"/>
      <c r="Y85" s="1969"/>
      <c r="Z85" s="120"/>
      <c r="AA85" s="120"/>
      <c r="AB85" s="120"/>
      <c r="AC85" s="120"/>
      <c r="AD85" s="120"/>
      <c r="AE85" s="120"/>
      <c r="AF85" s="120"/>
    </row>
    <row r="86" spans="1:32" s="121" customFormat="1" ht="18.600000000000001" customHeight="1" thickBot="1" x14ac:dyDescent="0.25">
      <c r="A86" s="3097"/>
      <c r="B86" s="3099"/>
      <c r="C86" s="3069"/>
      <c r="D86" s="3008"/>
      <c r="E86" s="3039"/>
      <c r="F86" s="2988" t="s">
        <v>436</v>
      </c>
      <c r="G86" s="2989"/>
      <c r="H86" s="2990"/>
      <c r="I86" s="1773">
        <f>SUM(I85)</f>
        <v>0</v>
      </c>
      <c r="J86" s="1774">
        <f t="shared" ref="J86:P86" si="40">SUM(J85)</f>
        <v>0</v>
      </c>
      <c r="K86" s="1774">
        <f t="shared" si="40"/>
        <v>0</v>
      </c>
      <c r="L86" s="1774">
        <f t="shared" si="40"/>
        <v>0</v>
      </c>
      <c r="M86" s="1773">
        <f t="shared" si="40"/>
        <v>0</v>
      </c>
      <c r="N86" s="1774">
        <f t="shared" si="40"/>
        <v>0</v>
      </c>
      <c r="O86" s="1774">
        <f t="shared" si="40"/>
        <v>0</v>
      </c>
      <c r="P86" s="1775">
        <f t="shared" si="40"/>
        <v>0</v>
      </c>
      <c r="Q86" s="1773">
        <f>SUM(Q85)</f>
        <v>71.900000000000006</v>
      </c>
      <c r="R86" s="1774">
        <f t="shared" ref="R86:X86" si="41">SUM(R85)</f>
        <v>0</v>
      </c>
      <c r="S86" s="1774">
        <f t="shared" si="41"/>
        <v>0</v>
      </c>
      <c r="T86" s="1774">
        <f t="shared" si="41"/>
        <v>71.900000000000006</v>
      </c>
      <c r="U86" s="1773">
        <f t="shared" si="41"/>
        <v>0</v>
      </c>
      <c r="V86" s="1774">
        <f t="shared" si="41"/>
        <v>0</v>
      </c>
      <c r="W86" s="1774">
        <f t="shared" si="41"/>
        <v>0</v>
      </c>
      <c r="X86" s="1775">
        <f t="shared" si="41"/>
        <v>0</v>
      </c>
      <c r="Y86" s="120"/>
      <c r="Z86" s="120"/>
      <c r="AA86" s="120"/>
      <c r="AB86" s="120"/>
      <c r="AC86" s="120"/>
      <c r="AD86" s="120"/>
      <c r="AE86" s="120"/>
      <c r="AF86" s="120"/>
    </row>
    <row r="87" spans="1:32" s="121" customFormat="1" ht="33" customHeight="1" thickBot="1" x14ac:dyDescent="0.25">
      <c r="A87" s="3096">
        <v>1</v>
      </c>
      <c r="B87" s="3098">
        <v>3</v>
      </c>
      <c r="C87" s="3100">
        <v>7</v>
      </c>
      <c r="D87" s="3007" t="s">
        <v>492</v>
      </c>
      <c r="E87" s="3064" t="s">
        <v>487</v>
      </c>
      <c r="F87" s="1833" t="s">
        <v>490</v>
      </c>
      <c r="G87" s="1960" t="s">
        <v>493</v>
      </c>
      <c r="H87" s="1907" t="s">
        <v>30</v>
      </c>
      <c r="I87" s="1835"/>
      <c r="J87" s="1770"/>
      <c r="K87" s="1770"/>
      <c r="L87" s="1836"/>
      <c r="M87" s="1791"/>
      <c r="N87" s="1770"/>
      <c r="O87" s="1770"/>
      <c r="P87" s="1902"/>
      <c r="Q87" s="1900"/>
      <c r="R87" s="1901"/>
      <c r="S87" s="1901"/>
      <c r="T87" s="1902"/>
      <c r="U87" s="1900">
        <v>60.7</v>
      </c>
      <c r="V87" s="1901"/>
      <c r="W87" s="1901"/>
      <c r="X87" s="1902">
        <v>60.7</v>
      </c>
      <c r="Y87" s="1971"/>
      <c r="Z87" s="120"/>
      <c r="AA87" s="120"/>
      <c r="AB87" s="120"/>
      <c r="AC87" s="120"/>
      <c r="AD87" s="120"/>
      <c r="AE87" s="120"/>
      <c r="AF87" s="120"/>
    </row>
    <row r="88" spans="1:32" s="121" customFormat="1" ht="17.649999999999999" customHeight="1" thickBot="1" x14ac:dyDescent="0.25">
      <c r="A88" s="3114"/>
      <c r="B88" s="3115"/>
      <c r="C88" s="3116"/>
      <c r="D88" s="3009"/>
      <c r="E88" s="3065"/>
      <c r="F88" s="2988" t="s">
        <v>436</v>
      </c>
      <c r="G88" s="2989"/>
      <c r="H88" s="2990"/>
      <c r="I88" s="1806"/>
      <c r="J88" s="1774"/>
      <c r="K88" s="1774"/>
      <c r="L88" s="1810"/>
      <c r="M88" s="1806"/>
      <c r="N88" s="1774"/>
      <c r="O88" s="1774"/>
      <c r="P88" s="1775"/>
      <c r="Q88" s="1806"/>
      <c r="R88" s="1774"/>
      <c r="S88" s="1774"/>
      <c r="T88" s="1775">
        <f>T87</f>
        <v>0</v>
      </c>
      <c r="U88" s="1806">
        <v>60.7</v>
      </c>
      <c r="V88" s="1774"/>
      <c r="W88" s="1774"/>
      <c r="X88" s="1775">
        <v>60.7</v>
      </c>
      <c r="Y88" s="120"/>
      <c r="Z88" s="120"/>
      <c r="AA88" s="120"/>
      <c r="AB88" s="120"/>
      <c r="AC88" s="120"/>
      <c r="AD88" s="120"/>
      <c r="AE88" s="120"/>
      <c r="AF88" s="120"/>
    </row>
    <row r="89" spans="1:32" s="121" customFormat="1" ht="13.5" customHeight="1" thickBot="1" x14ac:dyDescent="0.25">
      <c r="A89" s="1908">
        <v>1</v>
      </c>
      <c r="B89" s="1909">
        <v>3</v>
      </c>
      <c r="C89" s="3032" t="s">
        <v>234</v>
      </c>
      <c r="D89" s="3033"/>
      <c r="E89" s="3033"/>
      <c r="F89" s="3033"/>
      <c r="G89" s="3033"/>
      <c r="H89" s="3034"/>
      <c r="I89" s="1798">
        <f>SUM(I71,I75,I78,I81,I84,I86,I88)</f>
        <v>294.5</v>
      </c>
      <c r="J89" s="1798">
        <f t="shared" ref="J89:X89" si="42">SUM(J71,J75,J78,J81,J84,J86,J88)</f>
        <v>36</v>
      </c>
      <c r="K89" s="1798">
        <f t="shared" si="42"/>
        <v>30.7</v>
      </c>
      <c r="L89" s="1798">
        <f>SUM(L71,L75,L78,L81,L84,L86,L88)</f>
        <v>258.5</v>
      </c>
      <c r="M89" s="1798">
        <f t="shared" si="42"/>
        <v>50</v>
      </c>
      <c r="N89" s="1798">
        <f t="shared" si="42"/>
        <v>50</v>
      </c>
      <c r="O89" s="1798">
        <f t="shared" si="42"/>
        <v>0</v>
      </c>
      <c r="P89" s="1798">
        <f t="shared" si="42"/>
        <v>0</v>
      </c>
      <c r="Q89" s="1798">
        <f t="shared" si="42"/>
        <v>419.79999999999995</v>
      </c>
      <c r="R89" s="1798">
        <f t="shared" si="42"/>
        <v>0</v>
      </c>
      <c r="S89" s="1798">
        <f t="shared" si="42"/>
        <v>0</v>
      </c>
      <c r="T89" s="1798">
        <f t="shared" si="42"/>
        <v>419.79999999999995</v>
      </c>
      <c r="U89" s="1798">
        <f t="shared" si="42"/>
        <v>280.7</v>
      </c>
      <c r="V89" s="1798">
        <f t="shared" si="42"/>
        <v>0</v>
      </c>
      <c r="W89" s="1798">
        <f t="shared" si="42"/>
        <v>0</v>
      </c>
      <c r="X89" s="1799">
        <f t="shared" si="42"/>
        <v>280.7</v>
      </c>
      <c r="Y89" s="1970"/>
      <c r="Z89" s="120"/>
      <c r="AA89" s="120"/>
      <c r="AB89" s="120"/>
      <c r="AC89" s="120"/>
      <c r="AD89" s="120"/>
      <c r="AE89" s="120"/>
      <c r="AF89" s="120"/>
    </row>
    <row r="90" spans="1:32" s="126" customFormat="1" ht="13.5" customHeight="1" thickBot="1" x14ac:dyDescent="0.25">
      <c r="A90" s="1948">
        <v>1</v>
      </c>
      <c r="B90" s="3104" t="s">
        <v>167</v>
      </c>
      <c r="C90" s="3105"/>
      <c r="D90" s="3105"/>
      <c r="E90" s="3105"/>
      <c r="F90" s="3105"/>
      <c r="G90" s="3105"/>
      <c r="H90" s="3106"/>
      <c r="I90" s="1910">
        <f>SUM(I25,I68,I89)</f>
        <v>1984.2999999999997</v>
      </c>
      <c r="J90" s="1911">
        <f>SUM(J25, J68, J89)</f>
        <v>1711.1</v>
      </c>
      <c r="K90" s="1910">
        <f t="shared" ref="K90:X90" si="43">SUM(K25,K68,K89)</f>
        <v>1229.3999999999999</v>
      </c>
      <c r="L90" s="1912">
        <f t="shared" si="43"/>
        <v>273.2</v>
      </c>
      <c r="M90" s="1913">
        <f t="shared" si="43"/>
        <v>1976.8999999999996</v>
      </c>
      <c r="N90" s="1913">
        <f t="shared" si="43"/>
        <v>1957.2999999999997</v>
      </c>
      <c r="O90" s="1913">
        <f t="shared" si="43"/>
        <v>1122.5</v>
      </c>
      <c r="P90" s="1913">
        <f t="shared" si="43"/>
        <v>19.600000000000001</v>
      </c>
      <c r="Q90" s="1914">
        <f t="shared" si="43"/>
        <v>1790.1000000000001</v>
      </c>
      <c r="R90" s="1910">
        <f t="shared" si="43"/>
        <v>1370.3000000000002</v>
      </c>
      <c r="S90" s="1910">
        <f t="shared" si="43"/>
        <v>1057.6000000000001</v>
      </c>
      <c r="T90" s="1915">
        <f t="shared" si="43"/>
        <v>419.79999999999995</v>
      </c>
      <c r="U90" s="1914">
        <f t="shared" si="43"/>
        <v>1599.4</v>
      </c>
      <c r="V90" s="1910">
        <f t="shared" si="43"/>
        <v>1318.7</v>
      </c>
      <c r="W90" s="1910">
        <f t="shared" si="43"/>
        <v>1006.9</v>
      </c>
      <c r="X90" s="1912">
        <f t="shared" si="43"/>
        <v>280.7</v>
      </c>
      <c r="Y90" s="125"/>
      <c r="Z90" s="125"/>
      <c r="AA90" s="125"/>
      <c r="AB90" s="125"/>
      <c r="AC90" s="125"/>
      <c r="AD90" s="125"/>
      <c r="AE90" s="125"/>
      <c r="AF90" s="125"/>
    </row>
    <row r="91" spans="1:32" s="127" customFormat="1" ht="13.5" customHeight="1" thickBot="1" x14ac:dyDescent="0.25">
      <c r="A91" s="3107" t="s">
        <v>208</v>
      </c>
      <c r="B91" s="3108"/>
      <c r="C91" s="3108"/>
      <c r="D91" s="3108"/>
      <c r="E91" s="3108"/>
      <c r="F91" s="3108"/>
      <c r="G91" s="3108"/>
      <c r="H91" s="3109"/>
      <c r="I91" s="1916">
        <f t="shared" ref="I91:X91" si="44">SUM(I25,I68,I89)</f>
        <v>1984.2999999999997</v>
      </c>
      <c r="J91" s="1916">
        <f t="shared" si="44"/>
        <v>1711.1</v>
      </c>
      <c r="K91" s="1916">
        <f t="shared" si="44"/>
        <v>1229.3999999999999</v>
      </c>
      <c r="L91" s="1916">
        <f t="shared" si="44"/>
        <v>273.2</v>
      </c>
      <c r="M91" s="1916">
        <f t="shared" si="44"/>
        <v>1976.8999999999996</v>
      </c>
      <c r="N91" s="1916">
        <f t="shared" si="44"/>
        <v>1957.2999999999997</v>
      </c>
      <c r="O91" s="1916">
        <f t="shared" si="44"/>
        <v>1122.5</v>
      </c>
      <c r="P91" s="1916">
        <f t="shared" si="44"/>
        <v>19.600000000000001</v>
      </c>
      <c r="Q91" s="1916">
        <f t="shared" si="44"/>
        <v>1790.1000000000001</v>
      </c>
      <c r="R91" s="1916">
        <f t="shared" si="44"/>
        <v>1370.3000000000002</v>
      </c>
      <c r="S91" s="1916">
        <f t="shared" si="44"/>
        <v>1057.6000000000001</v>
      </c>
      <c r="T91" s="1916">
        <f t="shared" si="44"/>
        <v>419.79999999999995</v>
      </c>
      <c r="U91" s="1916">
        <f t="shared" si="44"/>
        <v>1599.4</v>
      </c>
      <c r="V91" s="1916">
        <f t="shared" si="44"/>
        <v>1318.7</v>
      </c>
      <c r="W91" s="1916">
        <f t="shared" si="44"/>
        <v>1006.9</v>
      </c>
      <c r="X91" s="1976">
        <f t="shared" si="44"/>
        <v>280.7</v>
      </c>
      <c r="Y91" s="125"/>
      <c r="Z91" s="125"/>
      <c r="AA91" s="125"/>
      <c r="AB91" s="125"/>
      <c r="AC91" s="125"/>
      <c r="AD91" s="125"/>
      <c r="AE91" s="125"/>
      <c r="AF91" s="125"/>
    </row>
    <row r="92" spans="1:32" s="120" customFormat="1" ht="13.5" customHeight="1" x14ac:dyDescent="0.2">
      <c r="A92" s="3110" t="s">
        <v>209</v>
      </c>
      <c r="B92" s="3009"/>
      <c r="C92" s="3009"/>
      <c r="D92" s="3009"/>
      <c r="E92" s="3009"/>
      <c r="F92" s="3009"/>
      <c r="G92" s="3009"/>
      <c r="H92" s="3111"/>
      <c r="I92" s="1917">
        <f>J92+L92</f>
        <v>327.8</v>
      </c>
      <c r="J92" s="1918">
        <f>SUM(J12,J21,J27,J32,J39,J45,J54,J62,J70,J72,J76,J79,J82,J85,J87,J61,J83)</f>
        <v>286.3</v>
      </c>
      <c r="K92" s="1918">
        <f>SUM(K12,K21,K27,K32,K39,K45,K54,K62,K70,K72,K76,K79,K82,K85,K87,K61,K83)</f>
        <v>231.5</v>
      </c>
      <c r="L92" s="1918">
        <f>SUM(L12,L21,L27,L32,L39,L45,L54,L62,L70,L72,L76,L79,L82,L85,L87,L61,L83)</f>
        <v>41.5</v>
      </c>
      <c r="M92" s="1917">
        <f>N92+P92</f>
        <v>440.5</v>
      </c>
      <c r="N92" s="1918">
        <f>SUM(N12,N21,N27,N32,N39,N45,N54,N62,N70,N72,N76,N79,N82,N85,N87,N61,N83)</f>
        <v>440.5</v>
      </c>
      <c r="O92" s="1918">
        <f>SUM(O12,O21,O27,O32,O39,O45,O54,O62,O70,O72,O76,O79,O82,O85,O87,O61,O83)</f>
        <v>265.90000000000003</v>
      </c>
      <c r="P92" s="1918">
        <f>SUM(P12,P21,P27,P32,P39,P45,P54,P62,P70,P72,P76,P79,P82,P85,P87,P61,P83)</f>
        <v>0</v>
      </c>
      <c r="Q92" s="1917">
        <f>R92+T92</f>
        <v>559.9</v>
      </c>
      <c r="R92" s="1918">
        <f>SUM(R12,R21,R27,R32,R39,R45,R54,R62,R70,R72,R76,R79,R82,R85,R87,R61,R83)</f>
        <v>327.8</v>
      </c>
      <c r="S92" s="1918">
        <f>SUM(S12,S21,S27,S32,S39,S45,S54,S62,S70,S72,S76,S79,S82,S85,S87,S61,S83)</f>
        <v>258.40000000000003</v>
      </c>
      <c r="T92" s="1918">
        <f>SUM(T12,T21,T27,T32,T39,T45,T54,T62,T70,T72,T76,T79,T82,T85,T87,T61,T83)</f>
        <v>232.1</v>
      </c>
      <c r="U92" s="1917">
        <f>V92+X92</f>
        <v>523.59999999999991</v>
      </c>
      <c r="V92" s="1918">
        <f>SUM(V12,V21,V27,V32,V39,V45,V54,V62,V70,V72,V76,V79,V82,V85,V87,V61,V83)</f>
        <v>352.9</v>
      </c>
      <c r="W92" s="1918">
        <f>SUM(W12,W21,W27,W32,W39,W45,W54,W62,W70,W72,W76,W79,W82,W85,W87,W61,W83)</f>
        <v>271.5</v>
      </c>
      <c r="X92" s="1990">
        <f>SUM(X12,X21,X27,X32,X39,X45,X54,X62,X70,X72,X76,X79,X82,X85,X87,X61,X83)</f>
        <v>170.7</v>
      </c>
    </row>
    <row r="93" spans="1:32" s="125" customFormat="1" ht="13.5" customHeight="1" x14ac:dyDescent="0.2">
      <c r="A93" s="3112" t="s">
        <v>494</v>
      </c>
      <c r="B93" s="2985"/>
      <c r="C93" s="2985"/>
      <c r="D93" s="2985"/>
      <c r="E93" s="2985"/>
      <c r="F93" s="2985"/>
      <c r="G93" s="2985"/>
      <c r="H93" s="3113"/>
      <c r="I93" s="1919">
        <f t="shared" ref="I93:I106" si="45">J93+L93</f>
        <v>555.4</v>
      </c>
      <c r="J93" s="1920">
        <f>SUM(J28,J40,J44)</f>
        <v>555.4</v>
      </c>
      <c r="K93" s="1920">
        <f>SUM(K28,K40,K44)</f>
        <v>437.8</v>
      </c>
      <c r="L93" s="1921">
        <f>SUM(L28,L40,L44)</f>
        <v>0</v>
      </c>
      <c r="M93" s="1919">
        <f t="shared" ref="M93:M106" si="46">N93+P93</f>
        <v>668.5</v>
      </c>
      <c r="N93" s="1920">
        <f>SUM(N28,N40,N44)</f>
        <v>668.5</v>
      </c>
      <c r="O93" s="1920">
        <f>SUM(O28,O40,O44)</f>
        <v>552</v>
      </c>
      <c r="P93" s="1921">
        <f>SUM(P28,P40,P44)</f>
        <v>0</v>
      </c>
      <c r="Q93" s="1919">
        <f t="shared" ref="Q93:Q106" si="47">R93+T93</f>
        <v>657.2</v>
      </c>
      <c r="R93" s="1920">
        <f>SUM(R28,R40,R44)</f>
        <v>657.2</v>
      </c>
      <c r="S93" s="1920">
        <f>SUM(S28,S40,S44)</f>
        <v>508.70000000000005</v>
      </c>
      <c r="T93" s="1921">
        <f>SUM(T28,T40,T44)</f>
        <v>0</v>
      </c>
      <c r="U93" s="1919">
        <f t="shared" ref="U93:U106" si="48">V93+X93</f>
        <v>657.19999999999993</v>
      </c>
      <c r="V93" s="1920">
        <f>SUM(V28,V40,V44)</f>
        <v>657.19999999999993</v>
      </c>
      <c r="W93" s="1920">
        <f>SUM(W28,W40,W44)</f>
        <v>508.70000000000005</v>
      </c>
      <c r="X93" s="1922">
        <f>SUM(X28,X40,X44)</f>
        <v>0</v>
      </c>
    </row>
    <row r="94" spans="1:32" s="120" customFormat="1" ht="15.75" customHeight="1" x14ac:dyDescent="0.2">
      <c r="A94" s="3112" t="s">
        <v>495</v>
      </c>
      <c r="B94" s="2985"/>
      <c r="C94" s="2985"/>
      <c r="D94" s="2985"/>
      <c r="E94" s="2985"/>
      <c r="F94" s="2985"/>
      <c r="G94" s="2985"/>
      <c r="H94" s="3113"/>
      <c r="I94" s="1919">
        <f t="shared" si="45"/>
        <v>64.5</v>
      </c>
      <c r="J94" s="1920">
        <f>SUM(J30,J47,J49,J51)</f>
        <v>64.5</v>
      </c>
      <c r="K94" s="1920">
        <f>SUM(K30,K47,K49,K51)</f>
        <v>0</v>
      </c>
      <c r="L94" s="1921">
        <f>SUM(L30,L47,L49,L51)</f>
        <v>0</v>
      </c>
      <c r="M94" s="1919">
        <f t="shared" si="46"/>
        <v>60</v>
      </c>
      <c r="N94" s="1920">
        <f>SUM(N30,N47,N49,N51)</f>
        <v>60</v>
      </c>
      <c r="O94" s="1920">
        <f>SUM(O30,O47,O49,O51)</f>
        <v>0</v>
      </c>
      <c r="P94" s="1921">
        <f>SUM(P30,P47,P49,P51)</f>
        <v>0</v>
      </c>
      <c r="Q94" s="1919">
        <f t="shared" si="47"/>
        <v>54.5</v>
      </c>
      <c r="R94" s="1920">
        <f>SUM(R30,R47,R49,R51)</f>
        <v>54.5</v>
      </c>
      <c r="S94" s="1920">
        <f>SUM(S30,S47,S49,S51)</f>
        <v>0</v>
      </c>
      <c r="T94" s="1921">
        <f>SUM(T30,T47,T49,T51)</f>
        <v>0</v>
      </c>
      <c r="U94" s="1919">
        <f t="shared" si="48"/>
        <v>48.5</v>
      </c>
      <c r="V94" s="1920">
        <f>SUM(V30,V47,V49,V51)</f>
        <v>48.5</v>
      </c>
      <c r="W94" s="1920">
        <f>SUM(W30,W47,W49,W51)</f>
        <v>0</v>
      </c>
      <c r="X94" s="1922">
        <f>SUM(X30,X47,X49,X51)</f>
        <v>0</v>
      </c>
      <c r="Y94" s="1923"/>
      <c r="Z94" s="1923"/>
      <c r="AA94" s="1923"/>
      <c r="AB94" s="1923"/>
      <c r="AC94" s="1923"/>
    </row>
    <row r="95" spans="1:32" s="120" customFormat="1" ht="15.75" customHeight="1" x14ac:dyDescent="0.2">
      <c r="A95" s="3112" t="s">
        <v>415</v>
      </c>
      <c r="B95" s="2985"/>
      <c r="C95" s="2985"/>
      <c r="D95" s="2985"/>
      <c r="E95" s="2985"/>
      <c r="F95" s="2985"/>
      <c r="G95" s="2985"/>
      <c r="H95" s="3113"/>
      <c r="I95" s="1919">
        <f t="shared" si="45"/>
        <v>18.100000000000001</v>
      </c>
      <c r="J95" s="1920">
        <f>SUM(J52)</f>
        <v>18.100000000000001</v>
      </c>
      <c r="K95" s="1920">
        <f>SUM(K52)</f>
        <v>0</v>
      </c>
      <c r="L95" s="1921">
        <f>SUM(L52)</f>
        <v>0</v>
      </c>
      <c r="M95" s="1919">
        <f t="shared" si="46"/>
        <v>23.3</v>
      </c>
      <c r="N95" s="1920">
        <f>SUM(N52)</f>
        <v>23.3</v>
      </c>
      <c r="O95" s="1920">
        <f>SUM(O52)</f>
        <v>0</v>
      </c>
      <c r="P95" s="1921">
        <f>SUM(P52)</f>
        <v>0</v>
      </c>
      <c r="Q95" s="1919">
        <f t="shared" si="47"/>
        <v>0</v>
      </c>
      <c r="R95" s="1920">
        <f>SUM(R52)</f>
        <v>0</v>
      </c>
      <c r="S95" s="1920">
        <f>SUM(S52)</f>
        <v>0</v>
      </c>
      <c r="T95" s="1921">
        <f>SUM(T52)</f>
        <v>0</v>
      </c>
      <c r="U95" s="1919">
        <f t="shared" si="48"/>
        <v>0</v>
      </c>
      <c r="V95" s="1920">
        <f>SUM(V52)</f>
        <v>0</v>
      </c>
      <c r="W95" s="1920">
        <f>SUM(W52)</f>
        <v>0</v>
      </c>
      <c r="X95" s="1922">
        <f>SUM(X52)</f>
        <v>0</v>
      </c>
      <c r="Y95" s="1923"/>
      <c r="Z95" s="1923"/>
      <c r="AA95" s="1923"/>
      <c r="AB95" s="1923"/>
      <c r="AC95" s="1923"/>
    </row>
    <row r="96" spans="1:32" s="120" customFormat="1" ht="13.5" customHeight="1" x14ac:dyDescent="0.2">
      <c r="A96" s="3112" t="s">
        <v>215</v>
      </c>
      <c r="B96" s="2985"/>
      <c r="C96" s="2985"/>
      <c r="D96" s="2985"/>
      <c r="E96" s="2985"/>
      <c r="F96" s="2985"/>
      <c r="G96" s="2985"/>
      <c r="H96" s="3113"/>
      <c r="I96" s="1919">
        <f t="shared" si="45"/>
        <v>4</v>
      </c>
      <c r="J96" s="1920">
        <f>SUM(J42)</f>
        <v>2</v>
      </c>
      <c r="K96" s="1920">
        <f>SUM(K42)</f>
        <v>1</v>
      </c>
      <c r="L96" s="1921">
        <f>SUM(L42)</f>
        <v>2</v>
      </c>
      <c r="M96" s="1919">
        <f t="shared" si="46"/>
        <v>2</v>
      </c>
      <c r="N96" s="1920">
        <f>SUM(N42)</f>
        <v>2</v>
      </c>
      <c r="O96" s="1920">
        <f>SUM(O42)</f>
        <v>0.5</v>
      </c>
      <c r="P96" s="1921">
        <f>SUM(P42)</f>
        <v>0</v>
      </c>
      <c r="Q96" s="1919">
        <f t="shared" si="47"/>
        <v>4</v>
      </c>
      <c r="R96" s="1920">
        <f>SUM(R42)</f>
        <v>4</v>
      </c>
      <c r="S96" s="1920">
        <f>SUM(S42)</f>
        <v>2</v>
      </c>
      <c r="T96" s="1921">
        <f>SUM(T42)</f>
        <v>0</v>
      </c>
      <c r="U96" s="1919">
        <f t="shared" si="48"/>
        <v>4</v>
      </c>
      <c r="V96" s="1920">
        <f>SUM(V42)</f>
        <v>4</v>
      </c>
      <c r="W96" s="1920">
        <f>SUM(W42)</f>
        <v>2</v>
      </c>
      <c r="X96" s="1922">
        <f>SUM(X42)</f>
        <v>0</v>
      </c>
    </row>
    <row r="97" spans="1:25" s="120" customFormat="1" ht="13.5" customHeight="1" x14ac:dyDescent="0.2">
      <c r="A97" s="3112" t="s">
        <v>496</v>
      </c>
      <c r="B97" s="2985"/>
      <c r="C97" s="2985"/>
      <c r="D97" s="2985"/>
      <c r="E97" s="2985"/>
      <c r="F97" s="2985"/>
      <c r="G97" s="2985"/>
      <c r="H97" s="3113"/>
      <c r="I97" s="1919">
        <f t="shared" si="45"/>
        <v>253</v>
      </c>
      <c r="J97" s="1920">
        <f>SUM(J41)</f>
        <v>253</v>
      </c>
      <c r="K97" s="1920">
        <f>SUM(K41)</f>
        <v>181.6</v>
      </c>
      <c r="L97" s="1921">
        <f>SUM(L41)</f>
        <v>0</v>
      </c>
      <c r="M97" s="1919">
        <f t="shared" si="46"/>
        <v>268.2</v>
      </c>
      <c r="N97" s="1920">
        <f>SUM(N41)</f>
        <v>268.2</v>
      </c>
      <c r="O97" s="1920">
        <f>SUM(O41)</f>
        <v>220.3</v>
      </c>
      <c r="P97" s="1921">
        <f>SUM(P41)</f>
        <v>0</v>
      </c>
      <c r="Q97" s="1919">
        <f t="shared" si="47"/>
        <v>249.3</v>
      </c>
      <c r="R97" s="1920">
        <f>SUM(R41)</f>
        <v>249.3</v>
      </c>
      <c r="S97" s="1920">
        <f>SUM(S41)</f>
        <v>217.9</v>
      </c>
      <c r="T97" s="1921">
        <f>SUM(T41)</f>
        <v>0</v>
      </c>
      <c r="U97" s="1919">
        <f t="shared" si="48"/>
        <v>249.3</v>
      </c>
      <c r="V97" s="1920">
        <f>SUM(V41)</f>
        <v>249.3</v>
      </c>
      <c r="W97" s="1920">
        <f>SUM(W41)</f>
        <v>217.9</v>
      </c>
      <c r="X97" s="1922">
        <f>SUM(X41)</f>
        <v>0</v>
      </c>
    </row>
    <row r="98" spans="1:25" s="120" customFormat="1" ht="13.5" customHeight="1" x14ac:dyDescent="0.2">
      <c r="A98" s="3112" t="s">
        <v>497</v>
      </c>
      <c r="B98" s="2985"/>
      <c r="C98" s="2985"/>
      <c r="D98" s="2985"/>
      <c r="E98" s="2985"/>
      <c r="F98" s="2985"/>
      <c r="G98" s="2985"/>
      <c r="H98" s="3113"/>
      <c r="I98" s="1919">
        <f t="shared" si="45"/>
        <v>0.5</v>
      </c>
      <c r="J98" s="1920">
        <f t="shared" ref="J98:L99" si="49">SUM(J55)</f>
        <v>0.5</v>
      </c>
      <c r="K98" s="1920">
        <f t="shared" si="49"/>
        <v>0.4</v>
      </c>
      <c r="L98" s="1921">
        <f t="shared" si="49"/>
        <v>0</v>
      </c>
      <c r="M98" s="1919">
        <f t="shared" si="46"/>
        <v>1.1000000000000001</v>
      </c>
      <c r="N98" s="1920">
        <f t="shared" ref="N98:P99" si="50">SUM(N55)</f>
        <v>1.1000000000000001</v>
      </c>
      <c r="O98" s="1920">
        <f t="shared" si="50"/>
        <v>0.3</v>
      </c>
      <c r="P98" s="1921">
        <f t="shared" si="50"/>
        <v>0</v>
      </c>
      <c r="Q98" s="1919">
        <f t="shared" si="47"/>
        <v>0</v>
      </c>
      <c r="R98" s="1920">
        <f t="shared" ref="R98:T99" si="51">SUM(R55)</f>
        <v>0</v>
      </c>
      <c r="S98" s="1920">
        <f t="shared" si="51"/>
        <v>0</v>
      </c>
      <c r="T98" s="1921">
        <f t="shared" si="51"/>
        <v>0</v>
      </c>
      <c r="U98" s="1919">
        <f t="shared" si="48"/>
        <v>0</v>
      </c>
      <c r="V98" s="1920">
        <f t="shared" ref="V98:X99" si="52">SUM(V55)</f>
        <v>0</v>
      </c>
      <c r="W98" s="1920">
        <f t="shared" si="52"/>
        <v>0</v>
      </c>
      <c r="X98" s="1922">
        <f t="shared" si="52"/>
        <v>0</v>
      </c>
    </row>
    <row r="99" spans="1:25" s="120" customFormat="1" ht="13.5" customHeight="1" x14ac:dyDescent="0.2">
      <c r="A99" s="3112" t="s">
        <v>300</v>
      </c>
      <c r="B99" s="2985"/>
      <c r="C99" s="2985"/>
      <c r="D99" s="2985"/>
      <c r="E99" s="2985"/>
      <c r="F99" s="2985"/>
      <c r="G99" s="2985"/>
      <c r="H99" s="3113"/>
      <c r="I99" s="1919">
        <f t="shared" si="45"/>
        <v>5</v>
      </c>
      <c r="J99" s="1920">
        <f t="shared" si="49"/>
        <v>5</v>
      </c>
      <c r="K99" s="1920">
        <f t="shared" si="49"/>
        <v>4.5</v>
      </c>
      <c r="L99" s="1921">
        <f t="shared" si="49"/>
        <v>0</v>
      </c>
      <c r="M99" s="1919">
        <f t="shared" si="46"/>
        <v>16.100000000000001</v>
      </c>
      <c r="N99" s="1920">
        <f t="shared" si="50"/>
        <v>16.100000000000001</v>
      </c>
      <c r="O99" s="1920">
        <f t="shared" si="50"/>
        <v>16.100000000000001</v>
      </c>
      <c r="P99" s="1921">
        <f t="shared" si="50"/>
        <v>0</v>
      </c>
      <c r="Q99" s="1919">
        <f t="shared" si="47"/>
        <v>0</v>
      </c>
      <c r="R99" s="1920">
        <f t="shared" si="51"/>
        <v>0</v>
      </c>
      <c r="S99" s="1920">
        <f t="shared" si="51"/>
        <v>0</v>
      </c>
      <c r="T99" s="1921">
        <f t="shared" si="51"/>
        <v>0</v>
      </c>
      <c r="U99" s="1919">
        <f t="shared" si="48"/>
        <v>0</v>
      </c>
      <c r="V99" s="1920">
        <f t="shared" si="52"/>
        <v>0</v>
      </c>
      <c r="W99" s="1920">
        <f t="shared" si="52"/>
        <v>0</v>
      </c>
      <c r="X99" s="1922">
        <f t="shared" si="52"/>
        <v>0</v>
      </c>
    </row>
    <row r="100" spans="1:25" s="120" customFormat="1" ht="13.5" customHeight="1" x14ac:dyDescent="0.2">
      <c r="A100" s="3112" t="s">
        <v>498</v>
      </c>
      <c r="B100" s="2985"/>
      <c r="C100" s="2985"/>
      <c r="D100" s="2985"/>
      <c r="E100" s="2985"/>
      <c r="F100" s="2985"/>
      <c r="G100" s="2985"/>
      <c r="H100" s="3113"/>
      <c r="I100" s="1919">
        <f t="shared" si="45"/>
        <v>36.200000000000003</v>
      </c>
      <c r="J100" s="1920">
        <f>SUM(J34,J58,J64)</f>
        <v>36.200000000000003</v>
      </c>
      <c r="K100" s="1920">
        <f>SUM(K34,K58,K64)</f>
        <v>13.600000000000001</v>
      </c>
      <c r="L100" s="1920">
        <f>SUM(L34,L58,L64)</f>
        <v>0</v>
      </c>
      <c r="M100" s="1919">
        <f t="shared" si="46"/>
        <v>285.36</v>
      </c>
      <c r="N100" s="1920">
        <f>SUM(N34,N58,N64)</f>
        <v>268.7</v>
      </c>
      <c r="O100" s="1920">
        <f>SUM(O34,O58,O64)</f>
        <v>44.5</v>
      </c>
      <c r="P100" s="1920">
        <f>SUM(P34,P58,P64)</f>
        <v>16.66</v>
      </c>
      <c r="Q100" s="1919">
        <f t="shared" si="47"/>
        <v>29.8</v>
      </c>
      <c r="R100" s="1920">
        <f>SUM(R34,R58,R64)</f>
        <v>29.8</v>
      </c>
      <c r="S100" s="1920">
        <f>SUM(S34,S58,S64)</f>
        <v>29</v>
      </c>
      <c r="T100" s="1920">
        <f>SUM(T34,T58,T64)</f>
        <v>0</v>
      </c>
      <c r="U100" s="1919">
        <f t="shared" si="48"/>
        <v>5.8</v>
      </c>
      <c r="V100" s="1920">
        <f>SUM(V34,V58,V64)</f>
        <v>5.8</v>
      </c>
      <c r="W100" s="1920">
        <f>SUM(W34,W58,W64)</f>
        <v>5.78</v>
      </c>
      <c r="X100" s="1922">
        <f>SUM(X34,X58,X64)</f>
        <v>0</v>
      </c>
    </row>
    <row r="101" spans="1:25" s="120" customFormat="1" ht="13.5" customHeight="1" x14ac:dyDescent="0.2">
      <c r="A101" s="3112" t="s">
        <v>499</v>
      </c>
      <c r="B101" s="2985"/>
      <c r="C101" s="2985"/>
      <c r="D101" s="2985"/>
      <c r="E101" s="2985"/>
      <c r="F101" s="2985"/>
      <c r="G101" s="2985"/>
      <c r="H101" s="3113"/>
      <c r="I101" s="1919">
        <f t="shared" si="45"/>
        <v>0</v>
      </c>
      <c r="J101" s="1920"/>
      <c r="K101" s="1920"/>
      <c r="L101" s="1921"/>
      <c r="M101" s="1919">
        <f t="shared" si="46"/>
        <v>0</v>
      </c>
      <c r="N101" s="1920"/>
      <c r="O101" s="1920"/>
      <c r="P101" s="1921"/>
      <c r="Q101" s="1919">
        <f t="shared" si="47"/>
        <v>0</v>
      </c>
      <c r="R101" s="1920"/>
      <c r="S101" s="1920"/>
      <c r="T101" s="1921"/>
      <c r="U101" s="1919">
        <f t="shared" si="48"/>
        <v>0</v>
      </c>
      <c r="V101" s="1920"/>
      <c r="W101" s="1920"/>
      <c r="X101" s="1922"/>
    </row>
    <row r="102" spans="1:25" s="120" customFormat="1" ht="13.35" customHeight="1" x14ac:dyDescent="0.2">
      <c r="A102" s="3112" t="s">
        <v>221</v>
      </c>
      <c r="B102" s="2985"/>
      <c r="C102" s="2985"/>
      <c r="D102" s="2985"/>
      <c r="E102" s="2985"/>
      <c r="F102" s="2985"/>
      <c r="G102" s="2985"/>
      <c r="H102" s="3113"/>
      <c r="I102" s="1919">
        <f t="shared" si="45"/>
        <v>179.7</v>
      </c>
      <c r="J102" s="1920">
        <f t="shared" ref="J102:L102" si="53">SUM(J80,J77,J74)</f>
        <v>0</v>
      </c>
      <c r="K102" s="1920">
        <f t="shared" si="53"/>
        <v>0</v>
      </c>
      <c r="L102" s="1921">
        <f t="shared" si="53"/>
        <v>179.7</v>
      </c>
      <c r="M102" s="1919">
        <f t="shared" si="46"/>
        <v>0</v>
      </c>
      <c r="N102" s="1920">
        <f t="shared" ref="N102:P102" si="54">SUM(N80,N77,N74)</f>
        <v>0</v>
      </c>
      <c r="O102" s="1920">
        <f t="shared" si="54"/>
        <v>0</v>
      </c>
      <c r="P102" s="1921">
        <f t="shared" si="54"/>
        <v>0</v>
      </c>
      <c r="Q102" s="1919">
        <f t="shared" si="47"/>
        <v>187.7</v>
      </c>
      <c r="R102" s="1920">
        <f t="shared" ref="R102:T102" si="55">SUM(R80,R77,R74)</f>
        <v>0</v>
      </c>
      <c r="S102" s="1920">
        <f t="shared" si="55"/>
        <v>0</v>
      </c>
      <c r="T102" s="1921">
        <f t="shared" si="55"/>
        <v>187.7</v>
      </c>
      <c r="U102" s="1919">
        <f t="shared" si="48"/>
        <v>110</v>
      </c>
      <c r="V102" s="1920">
        <f t="shared" ref="V102:X102" si="56">SUM(V80,V77,V74)</f>
        <v>0</v>
      </c>
      <c r="W102" s="1920">
        <f t="shared" si="56"/>
        <v>0</v>
      </c>
      <c r="X102" s="1922">
        <f t="shared" si="56"/>
        <v>110</v>
      </c>
    </row>
    <row r="103" spans="1:25" s="120" customFormat="1" ht="13.35" customHeight="1" x14ac:dyDescent="0.2">
      <c r="A103" s="3112" t="s">
        <v>219</v>
      </c>
      <c r="B103" s="2985"/>
      <c r="C103" s="2985"/>
      <c r="D103" s="2985"/>
      <c r="E103" s="2985"/>
      <c r="F103" s="2985"/>
      <c r="G103" s="2985"/>
      <c r="H103" s="3113"/>
      <c r="I103" s="1919">
        <f t="shared" si="45"/>
        <v>50</v>
      </c>
      <c r="J103" s="1920">
        <f t="shared" ref="J103:L103" si="57">SUM(J73)</f>
        <v>0</v>
      </c>
      <c r="K103" s="1920">
        <f t="shared" si="57"/>
        <v>0</v>
      </c>
      <c r="L103" s="1921">
        <f t="shared" si="57"/>
        <v>50</v>
      </c>
      <c r="M103" s="1919">
        <f t="shared" si="46"/>
        <v>0</v>
      </c>
      <c r="N103" s="1920">
        <f t="shared" ref="N103:P103" si="58">SUM(N73)</f>
        <v>0</v>
      </c>
      <c r="O103" s="1920">
        <f t="shared" si="58"/>
        <v>0</v>
      </c>
      <c r="P103" s="1921">
        <f t="shared" si="58"/>
        <v>0</v>
      </c>
      <c r="Q103" s="1919">
        <f t="shared" si="47"/>
        <v>0</v>
      </c>
      <c r="R103" s="1920">
        <f t="shared" ref="R103:T103" si="59">SUM(R73)</f>
        <v>0</v>
      </c>
      <c r="S103" s="1920">
        <f t="shared" si="59"/>
        <v>0</v>
      </c>
      <c r="T103" s="1921">
        <f t="shared" si="59"/>
        <v>0</v>
      </c>
      <c r="U103" s="1919">
        <f t="shared" si="48"/>
        <v>0</v>
      </c>
      <c r="V103" s="1920">
        <f t="shared" ref="V103:X103" si="60">SUM(V73)</f>
        <v>0</v>
      </c>
      <c r="W103" s="1920">
        <f t="shared" si="60"/>
        <v>0</v>
      </c>
      <c r="X103" s="1922">
        <f t="shared" si="60"/>
        <v>0</v>
      </c>
    </row>
    <row r="104" spans="1:25" s="120" customFormat="1" ht="13.5" customHeight="1" x14ac:dyDescent="0.2">
      <c r="A104" s="3112" t="s">
        <v>500</v>
      </c>
      <c r="B104" s="2985"/>
      <c r="C104" s="2985"/>
      <c r="D104" s="2985"/>
      <c r="E104" s="2985"/>
      <c r="F104" s="2985"/>
      <c r="G104" s="2985"/>
      <c r="H104" s="3113"/>
      <c r="I104" s="1919">
        <f t="shared" si="45"/>
        <v>486.19999999999993</v>
      </c>
      <c r="J104" s="1920">
        <f>SUM(J14,J16,J17,J19,J23)</f>
        <v>486.19999999999993</v>
      </c>
      <c r="K104" s="1920">
        <f>SUM(K14,K16,K17,K19,K23)</f>
        <v>358.9</v>
      </c>
      <c r="L104" s="1920">
        <f>SUM(L14,L16,L17,L19,L23)</f>
        <v>0</v>
      </c>
      <c r="M104" s="1919">
        <f t="shared" si="46"/>
        <v>124</v>
      </c>
      <c r="N104" s="1920">
        <f>SUM(N14,N16,N17,N19,N23)</f>
        <v>124</v>
      </c>
      <c r="O104" s="1920">
        <f>SUM(O14,O16,O17,O19,O23)</f>
        <v>0</v>
      </c>
      <c r="P104" s="1920">
        <f>SUM(P14,P16,P17,P19,P23)</f>
        <v>0</v>
      </c>
      <c r="Q104" s="1919">
        <f t="shared" si="47"/>
        <v>0</v>
      </c>
      <c r="R104" s="1920">
        <f>SUM(R14,R16,R17,R19,R23)</f>
        <v>0</v>
      </c>
      <c r="S104" s="1920">
        <f>SUM(S14,S16,S17,S19,S23)</f>
        <v>0</v>
      </c>
      <c r="T104" s="1920">
        <f>SUM(T14,T16,T17,T19,T23)</f>
        <v>0</v>
      </c>
      <c r="U104" s="1919">
        <f t="shared" si="48"/>
        <v>0</v>
      </c>
      <c r="V104" s="1920">
        <f>SUM(V14,V16,V17,V19,V23)</f>
        <v>0</v>
      </c>
      <c r="W104" s="1920">
        <f>SUM(W14,W16,W17,W19,W23)</f>
        <v>0</v>
      </c>
      <c r="X104" s="1922">
        <f>SUM(X14,X16,X17,X19,X23)</f>
        <v>0</v>
      </c>
    </row>
    <row r="105" spans="1:25" s="120" customFormat="1" ht="13.5" customHeight="1" thickBot="1" x14ac:dyDescent="0.25">
      <c r="A105" s="3119" t="s">
        <v>501</v>
      </c>
      <c r="B105" s="3007"/>
      <c r="C105" s="3007"/>
      <c r="D105" s="3007"/>
      <c r="E105" s="3007"/>
      <c r="F105" s="3007"/>
      <c r="G105" s="3007"/>
      <c r="H105" s="3120"/>
      <c r="I105" s="1924">
        <f t="shared" si="45"/>
        <v>3.9</v>
      </c>
      <c r="J105" s="1925">
        <f>SUM(J63,J59,J33,J66)</f>
        <v>3.9</v>
      </c>
      <c r="K105" s="1925">
        <f t="shared" ref="K105:L105" si="61">SUM(K63,K59,K33,K66)</f>
        <v>0.1</v>
      </c>
      <c r="L105" s="1925">
        <f t="shared" si="61"/>
        <v>0</v>
      </c>
      <c r="M105" s="1924">
        <f t="shared" si="46"/>
        <v>87.84</v>
      </c>
      <c r="N105" s="1925">
        <f>SUM(N63,N59,N33,N66)</f>
        <v>84.9</v>
      </c>
      <c r="O105" s="1925">
        <f t="shared" ref="O105:P105" si="62">SUM(O63,O59,O33,O66)</f>
        <v>22.9</v>
      </c>
      <c r="P105" s="1925">
        <f t="shared" si="62"/>
        <v>2.94</v>
      </c>
      <c r="Q105" s="1924">
        <f t="shared" si="47"/>
        <v>47.699999999999996</v>
      </c>
      <c r="R105" s="1925">
        <f>SUM(R63,R59,R33,R66)</f>
        <v>47.699999999999996</v>
      </c>
      <c r="S105" s="1925">
        <f t="shared" ref="S105:T105" si="63">SUM(S63,S59,S33,S66)</f>
        <v>41.6</v>
      </c>
      <c r="T105" s="1925">
        <f t="shared" si="63"/>
        <v>0</v>
      </c>
      <c r="U105" s="1991">
        <f t="shared" si="48"/>
        <v>1</v>
      </c>
      <c r="V105" s="1925">
        <f>SUM(V63,V59,V33,V66)</f>
        <v>1</v>
      </c>
      <c r="W105" s="1925">
        <f t="shared" ref="W105:X105" si="64">SUM(W63,W59,W33,W66)</f>
        <v>1.02</v>
      </c>
      <c r="X105" s="1925">
        <f t="shared" si="64"/>
        <v>0</v>
      </c>
    </row>
    <row r="106" spans="1:25" ht="13.5" customHeight="1" thickBot="1" x14ac:dyDescent="0.3">
      <c r="A106" s="3121" t="s">
        <v>222</v>
      </c>
      <c r="B106" s="3122"/>
      <c r="C106" s="3122"/>
      <c r="D106" s="3122"/>
      <c r="E106" s="3122"/>
      <c r="F106" s="3122"/>
      <c r="G106" s="3122"/>
      <c r="H106" s="3123"/>
      <c r="I106" s="1926">
        <f t="shared" si="45"/>
        <v>1984.3000000000004</v>
      </c>
      <c r="J106" s="1927">
        <f t="shared" ref="J106:L106" si="65">SUM(J92:J105)</f>
        <v>1711.1000000000004</v>
      </c>
      <c r="K106" s="1927">
        <f t="shared" si="65"/>
        <v>1229.3999999999999</v>
      </c>
      <c r="L106" s="1928">
        <f t="shared" si="65"/>
        <v>273.2</v>
      </c>
      <c r="M106" s="1926">
        <f t="shared" si="46"/>
        <v>1976.8999999999999</v>
      </c>
      <c r="N106" s="1927">
        <f t="shared" ref="N106:P106" si="66">SUM(N92:N105)</f>
        <v>1957.3</v>
      </c>
      <c r="O106" s="1927">
        <f t="shared" si="66"/>
        <v>1122.5</v>
      </c>
      <c r="P106" s="1928">
        <f t="shared" si="66"/>
        <v>19.600000000000001</v>
      </c>
      <c r="Q106" s="1926">
        <f t="shared" si="47"/>
        <v>1790.1</v>
      </c>
      <c r="R106" s="1927">
        <f t="shared" ref="R106:T106" si="67">SUM(R92:R105)</f>
        <v>1370.3</v>
      </c>
      <c r="S106" s="1927">
        <f t="shared" si="67"/>
        <v>1057.6000000000001</v>
      </c>
      <c r="T106" s="1928">
        <f t="shared" si="67"/>
        <v>419.79999999999995</v>
      </c>
      <c r="U106" s="1926">
        <f t="shared" si="48"/>
        <v>1599.3999999999999</v>
      </c>
      <c r="V106" s="1927">
        <f t="shared" ref="V106:X106" si="68">SUM(V92:V105)</f>
        <v>1318.6999999999998</v>
      </c>
      <c r="W106" s="1927">
        <f t="shared" si="68"/>
        <v>1006.9</v>
      </c>
      <c r="X106" s="1929">
        <f t="shared" si="68"/>
        <v>280.7</v>
      </c>
    </row>
    <row r="107" spans="1:25" ht="12" customHeight="1" x14ac:dyDescent="0.25">
      <c r="A107" s="3117"/>
      <c r="B107" s="3117"/>
      <c r="C107" s="3117"/>
      <c r="D107" s="3117"/>
      <c r="E107" s="3117"/>
      <c r="F107" s="3117"/>
      <c r="G107" s="3117"/>
      <c r="H107" s="3117"/>
      <c r="I107" s="3117"/>
      <c r="J107" s="3117"/>
      <c r="K107" s="3117"/>
      <c r="L107" s="3117"/>
      <c r="M107" s="3117"/>
      <c r="N107" s="3117"/>
      <c r="O107" s="3117"/>
      <c r="P107" s="3117"/>
      <c r="Q107" s="3117"/>
      <c r="R107" s="3117"/>
    </row>
    <row r="108" spans="1:25" x14ac:dyDescent="0.25">
      <c r="B108" s="1930"/>
      <c r="C108" s="1930"/>
      <c r="D108" s="1931"/>
      <c r="E108" s="1930"/>
      <c r="F108" s="1932"/>
      <c r="G108" s="1962"/>
      <c r="I108" s="123">
        <f>I91-I106</f>
        <v>0</v>
      </c>
      <c r="J108" s="123">
        <f t="shared" ref="J108:X108" si="69">J91-J106</f>
        <v>0</v>
      </c>
      <c r="K108" s="123">
        <f t="shared" si="69"/>
        <v>0</v>
      </c>
      <c r="L108" s="123">
        <f t="shared" si="69"/>
        <v>0</v>
      </c>
      <c r="M108" s="123">
        <f>M91-M106</f>
        <v>0</v>
      </c>
      <c r="N108" s="123">
        <f t="shared" si="69"/>
        <v>0</v>
      </c>
      <c r="O108" s="123">
        <f t="shared" si="69"/>
        <v>0</v>
      </c>
      <c r="P108" s="123">
        <f t="shared" si="69"/>
        <v>0</v>
      </c>
      <c r="Q108" s="123">
        <f t="shared" si="69"/>
        <v>0</v>
      </c>
      <c r="R108" s="123">
        <f>R91-R106</f>
        <v>0</v>
      </c>
      <c r="S108" s="123"/>
      <c r="T108" s="123">
        <f t="shared" si="69"/>
        <v>0</v>
      </c>
      <c r="U108" s="123">
        <f t="shared" si="69"/>
        <v>0</v>
      </c>
      <c r="V108" s="123">
        <f t="shared" si="69"/>
        <v>0</v>
      </c>
      <c r="W108" s="123"/>
      <c r="X108" s="123">
        <f t="shared" si="69"/>
        <v>0</v>
      </c>
      <c r="Y108" s="1933">
        <f>Y91-Y106</f>
        <v>0</v>
      </c>
    </row>
    <row r="109" spans="1:25" x14ac:dyDescent="0.25">
      <c r="B109" s="1930"/>
      <c r="C109" s="1930"/>
      <c r="D109" s="1934"/>
      <c r="E109" s="1930"/>
      <c r="F109" s="1932"/>
      <c r="G109" s="1962"/>
      <c r="H109" s="1930"/>
      <c r="I109" s="1935"/>
      <c r="J109" s="1935"/>
      <c r="K109" s="123"/>
      <c r="L109" s="123"/>
      <c r="N109" s="123"/>
      <c r="O109" s="123"/>
      <c r="P109" s="123"/>
      <c r="R109" s="123"/>
      <c r="S109" s="123"/>
      <c r="T109" s="123"/>
      <c r="V109" s="123"/>
      <c r="W109" s="123"/>
      <c r="X109" s="123"/>
    </row>
    <row r="110" spans="1:25" x14ac:dyDescent="0.25">
      <c r="B110" s="1936"/>
      <c r="C110" s="3118"/>
      <c r="D110" s="3118"/>
      <c r="E110" s="3118"/>
      <c r="F110" s="3118"/>
      <c r="G110" s="3118"/>
      <c r="H110" s="3118"/>
      <c r="I110" s="3118"/>
      <c r="J110" s="3118"/>
      <c r="K110" s="3118"/>
      <c r="L110" s="3118"/>
      <c r="M110" s="3118"/>
      <c r="N110" s="3118"/>
      <c r="O110" s="3118"/>
      <c r="P110" s="123"/>
      <c r="R110" s="123"/>
      <c r="S110" s="123"/>
      <c r="T110" s="123"/>
      <c r="V110" s="123"/>
      <c r="W110" s="123"/>
      <c r="X110" s="123"/>
    </row>
    <row r="111" spans="1:25" x14ac:dyDescent="0.25">
      <c r="B111" s="1930"/>
      <c r="C111" s="1930"/>
      <c r="D111" s="1934"/>
      <c r="E111" s="1930"/>
      <c r="F111" s="1932"/>
      <c r="G111" s="1935"/>
      <c r="H111" s="1935"/>
      <c r="I111" s="1935"/>
      <c r="J111" s="1935"/>
      <c r="K111" s="1935"/>
      <c r="L111" s="1935"/>
      <c r="M111" s="1935"/>
      <c r="N111" s="1935"/>
      <c r="O111" s="1935"/>
      <c r="P111" s="1935"/>
      <c r="Q111" s="1935"/>
      <c r="R111" s="1935"/>
      <c r="S111" s="1935"/>
      <c r="T111" s="1935"/>
      <c r="U111" s="1935"/>
      <c r="V111" s="1935"/>
      <c r="W111" s="1935"/>
      <c r="X111" s="1935"/>
    </row>
    <row r="112" spans="1:25" x14ac:dyDescent="0.25">
      <c r="B112" s="1930"/>
      <c r="C112" s="1930"/>
      <c r="D112" s="1934"/>
      <c r="E112" s="1930"/>
      <c r="F112" s="1932"/>
      <c r="G112" s="1935"/>
      <c r="H112" s="1935"/>
      <c r="I112" s="1935"/>
      <c r="J112" s="1935"/>
      <c r="K112" s="123"/>
      <c r="L112" s="123"/>
      <c r="N112" s="123"/>
      <c r="O112" s="123"/>
      <c r="P112" s="123"/>
      <c r="R112" s="123"/>
      <c r="S112" s="123"/>
      <c r="T112" s="123"/>
      <c r="V112" s="123"/>
      <c r="W112" s="123"/>
      <c r="X112" s="123"/>
    </row>
    <row r="113" spans="2:24" x14ac:dyDescent="0.25">
      <c r="B113" s="1930"/>
      <c r="C113" s="1930"/>
      <c r="D113" s="1934"/>
      <c r="E113" s="1930"/>
      <c r="F113" s="1932"/>
      <c r="G113" s="1935"/>
      <c r="H113" s="1935"/>
      <c r="I113" s="1935"/>
      <c r="J113" s="1935"/>
      <c r="K113" s="1935"/>
      <c r="L113" s="1935"/>
      <c r="M113" s="1935"/>
      <c r="N113" s="1935"/>
      <c r="O113" s="1935"/>
      <c r="P113" s="1935"/>
      <c r="Q113" s="1935"/>
      <c r="R113" s="1935"/>
      <c r="S113" s="1935"/>
      <c r="T113" s="1935"/>
      <c r="U113" s="1935"/>
      <c r="V113" s="1935"/>
      <c r="W113" s="1935"/>
      <c r="X113" s="1935"/>
    </row>
    <row r="114" spans="2:24" x14ac:dyDescent="0.25">
      <c r="B114" s="1936"/>
      <c r="C114" s="1930"/>
      <c r="D114" s="1934"/>
      <c r="E114" s="1930"/>
      <c r="F114" s="1932"/>
      <c r="G114" s="1935"/>
      <c r="H114" s="1935"/>
      <c r="I114" s="1935"/>
      <c r="J114" s="1935"/>
      <c r="K114" s="123"/>
      <c r="L114" s="123"/>
      <c r="N114" s="123"/>
      <c r="O114" s="123"/>
      <c r="P114" s="123"/>
      <c r="R114" s="123"/>
      <c r="S114" s="123"/>
      <c r="T114" s="123"/>
      <c r="V114" s="123"/>
      <c r="W114" s="123"/>
      <c r="X114" s="123"/>
    </row>
    <row r="115" spans="2:24" x14ac:dyDescent="0.25">
      <c r="B115" s="1936"/>
      <c r="C115" s="1930"/>
      <c r="D115" s="1934"/>
      <c r="E115" s="1930"/>
      <c r="F115" s="1932"/>
      <c r="G115" s="1935"/>
      <c r="H115" s="1935"/>
      <c r="I115" s="1935"/>
      <c r="J115" s="1935"/>
      <c r="K115" s="123"/>
      <c r="L115" s="123"/>
      <c r="N115" s="123"/>
      <c r="O115" s="123"/>
      <c r="P115" s="123"/>
      <c r="R115" s="123"/>
      <c r="S115" s="123"/>
      <c r="T115" s="123"/>
      <c r="V115" s="123"/>
      <c r="W115" s="123"/>
      <c r="X115" s="123"/>
    </row>
    <row r="116" spans="2:24" x14ac:dyDescent="0.25">
      <c r="B116" s="1930"/>
      <c r="C116" s="1930"/>
      <c r="D116" s="1934"/>
      <c r="E116" s="1930"/>
      <c r="F116" s="1932"/>
      <c r="G116" s="1935"/>
      <c r="H116" s="1935"/>
      <c r="I116" s="1935"/>
      <c r="J116" s="1935"/>
      <c r="K116" s="123"/>
      <c r="L116" s="123"/>
      <c r="N116" s="123"/>
      <c r="O116" s="123"/>
      <c r="P116" s="123"/>
      <c r="R116" s="123"/>
      <c r="S116" s="123"/>
      <c r="T116" s="123"/>
      <c r="V116" s="123"/>
      <c r="W116" s="123"/>
      <c r="X116" s="123"/>
    </row>
    <row r="117" spans="2:24" x14ac:dyDescent="0.25">
      <c r="B117" s="1930"/>
      <c r="C117" s="1930"/>
      <c r="D117" s="1934"/>
      <c r="E117" s="1930"/>
      <c r="F117" s="1932"/>
      <c r="G117" s="1962"/>
      <c r="J117" s="123"/>
      <c r="K117" s="123"/>
      <c r="L117" s="123"/>
      <c r="N117" s="123"/>
      <c r="O117" s="123"/>
      <c r="P117" s="123"/>
      <c r="R117" s="123"/>
      <c r="S117" s="123"/>
      <c r="T117" s="123"/>
      <c r="V117" s="123"/>
      <c r="W117" s="123"/>
      <c r="X117" s="123"/>
    </row>
    <row r="118" spans="2:24" x14ac:dyDescent="0.25">
      <c r="B118" s="1930"/>
      <c r="C118" s="1930"/>
      <c r="D118" s="1934"/>
      <c r="E118" s="1930"/>
      <c r="F118" s="1932"/>
      <c r="G118" s="1935"/>
      <c r="H118" s="1935"/>
      <c r="I118" s="1935"/>
      <c r="J118" s="1935"/>
      <c r="K118" s="123"/>
      <c r="L118" s="123"/>
      <c r="N118" s="123"/>
      <c r="O118" s="123"/>
      <c r="P118" s="123"/>
      <c r="R118" s="123"/>
      <c r="S118" s="123"/>
      <c r="T118" s="123"/>
      <c r="V118" s="123"/>
      <c r="W118" s="123"/>
      <c r="X118" s="123"/>
    </row>
    <row r="120" spans="2:24" ht="15.75" thickBot="1" x14ac:dyDescent="0.3"/>
    <row r="121" spans="2:24" ht="15.75" thickBot="1" x14ac:dyDescent="0.3">
      <c r="O121" s="811"/>
    </row>
  </sheetData>
  <mergeCells count="238">
    <mergeCell ref="A107:R107"/>
    <mergeCell ref="C110:O110"/>
    <mergeCell ref="A101:H101"/>
    <mergeCell ref="A102:H102"/>
    <mergeCell ref="A103:H103"/>
    <mergeCell ref="A104:H104"/>
    <mergeCell ref="A105:H105"/>
    <mergeCell ref="A106:H106"/>
    <mergeCell ref="A95:H95"/>
    <mergeCell ref="A96:H96"/>
    <mergeCell ref="A97:H97"/>
    <mergeCell ref="A98:H98"/>
    <mergeCell ref="A99:H99"/>
    <mergeCell ref="A100:H100"/>
    <mergeCell ref="C89:H89"/>
    <mergeCell ref="B90:H90"/>
    <mergeCell ref="A91:H91"/>
    <mergeCell ref="A92:H92"/>
    <mergeCell ref="A93:H93"/>
    <mergeCell ref="A94:H94"/>
    <mergeCell ref="A87:A88"/>
    <mergeCell ref="B87:B88"/>
    <mergeCell ref="C87:C88"/>
    <mergeCell ref="D87:D88"/>
    <mergeCell ref="E87:E88"/>
    <mergeCell ref="F88:H88"/>
    <mergeCell ref="A85:A86"/>
    <mergeCell ref="B85:B86"/>
    <mergeCell ref="C85:C86"/>
    <mergeCell ref="D85:D86"/>
    <mergeCell ref="E85:E86"/>
    <mergeCell ref="F86:H86"/>
    <mergeCell ref="Y79:Y81"/>
    <mergeCell ref="F81:H81"/>
    <mergeCell ref="A82:A84"/>
    <mergeCell ref="B82:B84"/>
    <mergeCell ref="C82:C84"/>
    <mergeCell ref="D82:D84"/>
    <mergeCell ref="Y82:Y84"/>
    <mergeCell ref="F84:H84"/>
    <mergeCell ref="G82:G83"/>
    <mergeCell ref="F82:F83"/>
    <mergeCell ref="Y76:Y78"/>
    <mergeCell ref="F78:H78"/>
    <mergeCell ref="A79:A81"/>
    <mergeCell ref="B79:B81"/>
    <mergeCell ref="C79:C81"/>
    <mergeCell ref="D79:D81"/>
    <mergeCell ref="E79:E81"/>
    <mergeCell ref="F79:F80"/>
    <mergeCell ref="G79:G80"/>
    <mergeCell ref="A76:A78"/>
    <mergeCell ref="B76:B78"/>
    <mergeCell ref="C76:C78"/>
    <mergeCell ref="D76:D78"/>
    <mergeCell ref="E76:E78"/>
    <mergeCell ref="F76:F77"/>
    <mergeCell ref="A72:A75"/>
    <mergeCell ref="B72:B75"/>
    <mergeCell ref="C72:C75"/>
    <mergeCell ref="D72:D75"/>
    <mergeCell ref="E72:E75"/>
    <mergeCell ref="F72:F74"/>
    <mergeCell ref="G72:G74"/>
    <mergeCell ref="F75:H75"/>
    <mergeCell ref="G76:G77"/>
    <mergeCell ref="E62:E64"/>
    <mergeCell ref="F65:H65"/>
    <mergeCell ref="C68:H68"/>
    <mergeCell ref="C69:X69"/>
    <mergeCell ref="A70:A71"/>
    <mergeCell ref="B70:B71"/>
    <mergeCell ref="C70:C71"/>
    <mergeCell ref="D70:D71"/>
    <mergeCell ref="E70:E71"/>
    <mergeCell ref="F71:H71"/>
    <mergeCell ref="G61:G64"/>
    <mergeCell ref="F61:F64"/>
    <mergeCell ref="D61:D65"/>
    <mergeCell ref="C61:C65"/>
    <mergeCell ref="B61:B65"/>
    <mergeCell ref="A61:A65"/>
    <mergeCell ref="A66:A67"/>
    <mergeCell ref="B66:B67"/>
    <mergeCell ref="C66:C67"/>
    <mergeCell ref="D66:D67"/>
    <mergeCell ref="F67:H67"/>
    <mergeCell ref="E66:E67"/>
    <mergeCell ref="Y54:Y55"/>
    <mergeCell ref="F57:H57"/>
    <mergeCell ref="A58:A60"/>
    <mergeCell ref="B58:B60"/>
    <mergeCell ref="C58:C60"/>
    <mergeCell ref="D58:D60"/>
    <mergeCell ref="E58:E60"/>
    <mergeCell ref="F58:F59"/>
    <mergeCell ref="G58:G59"/>
    <mergeCell ref="F60:H60"/>
    <mergeCell ref="G51:G52"/>
    <mergeCell ref="F53:H53"/>
    <mergeCell ref="A54:A57"/>
    <mergeCell ref="B54:B57"/>
    <mergeCell ref="C54:C57"/>
    <mergeCell ref="D54:D57"/>
    <mergeCell ref="E54:E57"/>
    <mergeCell ref="F54:F56"/>
    <mergeCell ref="G54:G56"/>
    <mergeCell ref="A51:A53"/>
    <mergeCell ref="B51:B53"/>
    <mergeCell ref="C51:C53"/>
    <mergeCell ref="D51:D53"/>
    <mergeCell ref="E51:E53"/>
    <mergeCell ref="F51:F52"/>
    <mergeCell ref="A49:A50"/>
    <mergeCell ref="B49:B50"/>
    <mergeCell ref="C49:C50"/>
    <mergeCell ref="D49:D50"/>
    <mergeCell ref="E49:E50"/>
    <mergeCell ref="F50:H50"/>
    <mergeCell ref="A47:A48"/>
    <mergeCell ref="B47:B48"/>
    <mergeCell ref="C47:C48"/>
    <mergeCell ref="D47:D48"/>
    <mergeCell ref="E47:E48"/>
    <mergeCell ref="Y47:Y48"/>
    <mergeCell ref="F48:H48"/>
    <mergeCell ref="Y39:Y42"/>
    <mergeCell ref="F43:H43"/>
    <mergeCell ref="A44:A46"/>
    <mergeCell ref="B44:B46"/>
    <mergeCell ref="C44:C46"/>
    <mergeCell ref="D44:D46"/>
    <mergeCell ref="F44:F45"/>
    <mergeCell ref="G44:G45"/>
    <mergeCell ref="F46:H46"/>
    <mergeCell ref="G32:G34"/>
    <mergeCell ref="Y32:Y35"/>
    <mergeCell ref="F35:H35"/>
    <mergeCell ref="A39:A43"/>
    <mergeCell ref="B39:B43"/>
    <mergeCell ref="C39:C43"/>
    <mergeCell ref="D39:D43"/>
    <mergeCell ref="E39:E43"/>
    <mergeCell ref="F39:F42"/>
    <mergeCell ref="G39:G42"/>
    <mergeCell ref="A32:A35"/>
    <mergeCell ref="B32:B35"/>
    <mergeCell ref="C32:C35"/>
    <mergeCell ref="D32:D35"/>
    <mergeCell ref="E32:E35"/>
    <mergeCell ref="F32:F34"/>
    <mergeCell ref="Y27:Y28"/>
    <mergeCell ref="F29:H29"/>
    <mergeCell ref="A30:A31"/>
    <mergeCell ref="B30:B31"/>
    <mergeCell ref="C30:C31"/>
    <mergeCell ref="D30:D31"/>
    <mergeCell ref="E30:E31"/>
    <mergeCell ref="F31:H31"/>
    <mergeCell ref="C25:H25"/>
    <mergeCell ref="C26:X26"/>
    <mergeCell ref="A27:A29"/>
    <mergeCell ref="B27:B29"/>
    <mergeCell ref="C27:C29"/>
    <mergeCell ref="D27:D29"/>
    <mergeCell ref="E27:E29"/>
    <mergeCell ref="F27:F28"/>
    <mergeCell ref="G27:G28"/>
    <mergeCell ref="A23:A24"/>
    <mergeCell ref="B23:B24"/>
    <mergeCell ref="C23:C24"/>
    <mergeCell ref="D23:D24"/>
    <mergeCell ref="E23:E24"/>
    <mergeCell ref="F24:H24"/>
    <mergeCell ref="F20:H20"/>
    <mergeCell ref="A21:A22"/>
    <mergeCell ref="B21:B22"/>
    <mergeCell ref="C21:C22"/>
    <mergeCell ref="D21:D22"/>
    <mergeCell ref="E21:E22"/>
    <mergeCell ref="F22:H22"/>
    <mergeCell ref="C16:C18"/>
    <mergeCell ref="D16:D18"/>
    <mergeCell ref="Y16:Z16"/>
    <mergeCell ref="E17:E18"/>
    <mergeCell ref="F18:H18"/>
    <mergeCell ref="A19:A20"/>
    <mergeCell ref="B19:B20"/>
    <mergeCell ref="C19:C20"/>
    <mergeCell ref="D19:D20"/>
    <mergeCell ref="E19:E20"/>
    <mergeCell ref="N5:P5"/>
    <mergeCell ref="A14:A15"/>
    <mergeCell ref="B14:B15"/>
    <mergeCell ref="C14:C15"/>
    <mergeCell ref="D14:D15"/>
    <mergeCell ref="E14:E15"/>
    <mergeCell ref="F15:H15"/>
    <mergeCell ref="A8:X8"/>
    <mergeCell ref="A9:X9"/>
    <mergeCell ref="B10:X10"/>
    <mergeCell ref="C11:X11"/>
    <mergeCell ref="A12:A13"/>
    <mergeCell ref="B12:B13"/>
    <mergeCell ref="C12:C13"/>
    <mergeCell ref="D12:D13"/>
    <mergeCell ref="E12:E13"/>
    <mergeCell ref="F13:H13"/>
    <mergeCell ref="A4:A7"/>
    <mergeCell ref="B4:B7"/>
    <mergeCell ref="C4:C7"/>
    <mergeCell ref="D4:D7"/>
    <mergeCell ref="E4:E7"/>
    <mergeCell ref="F4:F7"/>
    <mergeCell ref="S1:X1"/>
    <mergeCell ref="A2:X2"/>
    <mergeCell ref="A3:H3"/>
    <mergeCell ref="K3:L3"/>
    <mergeCell ref="O3:P3"/>
    <mergeCell ref="S3:T3"/>
    <mergeCell ref="W3:X3"/>
    <mergeCell ref="Q5:Q7"/>
    <mergeCell ref="R5:T5"/>
    <mergeCell ref="U5:U7"/>
    <mergeCell ref="V5:X5"/>
    <mergeCell ref="L6:L7"/>
    <mergeCell ref="P6:P7"/>
    <mergeCell ref="T6:T7"/>
    <mergeCell ref="X6:X7"/>
    <mergeCell ref="G4:G7"/>
    <mergeCell ref="H4:H7"/>
    <mergeCell ref="I4:L4"/>
    <mergeCell ref="M4:P4"/>
    <mergeCell ref="Q4:T4"/>
    <mergeCell ref="U4:X4"/>
    <mergeCell ref="I5:I7"/>
    <mergeCell ref="J5:L5"/>
    <mergeCell ref="M5:M7"/>
  </mergeCells>
  <pageMargins left="0.23622047244094491" right="0.23622047244094491" top="0.74803149606299213" bottom="0.74803149606299213" header="0.31496062992125984" footer="0.31496062992125984"/>
  <pageSetup paperSize="9" scale="89" fitToHeight="17" orientation="landscape" r:id="rId1"/>
  <headerFooter>
    <oddHeader>&amp;C&amp;P&amp;R&amp;10 4 programa</oddHeader>
  </headerFooter>
  <rowBreaks count="2" manualBreakCount="2">
    <brk id="29" max="23" man="1"/>
    <brk id="5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3"/>
  <sheetViews>
    <sheetView showZeros="0" showWhiteSpace="0" topLeftCell="A94" zoomScale="115" zoomScaleNormal="115" zoomScaleSheetLayoutView="100" workbookViewId="0">
      <selection activeCell="K78" sqref="K78"/>
    </sheetView>
  </sheetViews>
  <sheetFormatPr defaultColWidth="8.85546875" defaultRowHeight="12.75" x14ac:dyDescent="0.2"/>
  <cols>
    <col min="1" max="3" width="2.5703125" style="535" customWidth="1"/>
    <col min="4" max="4" width="17.7109375" style="339" customWidth="1"/>
    <col min="5" max="5" width="4.7109375" style="339" customWidth="1"/>
    <col min="6" max="6" width="9.28515625" style="339" customWidth="1"/>
    <col min="7" max="7" width="7.28515625" style="339" customWidth="1"/>
    <col min="8" max="8" width="6.7109375" style="339" customWidth="1"/>
    <col min="9" max="9" width="8.5703125" style="541" customWidth="1"/>
    <col min="10" max="10" width="9.28515625" style="342" bestFit="1" customWidth="1"/>
    <col min="11" max="11" width="7.7109375" style="342" customWidth="1"/>
    <col min="12" max="12" width="6.7109375" style="342" customWidth="1"/>
    <col min="13" max="13" width="8" style="541" bestFit="1" customWidth="1"/>
    <col min="14" max="14" width="8" style="342" customWidth="1"/>
    <col min="15" max="15" width="6.5703125" style="342" customWidth="1"/>
    <col min="16" max="16" width="6" style="342" customWidth="1"/>
    <col min="17" max="17" width="7.5703125" style="541" customWidth="1"/>
    <col min="18" max="18" width="8.7109375" style="342" customWidth="1"/>
    <col min="19" max="19" width="6.7109375" style="342" customWidth="1"/>
    <col min="20" max="20" width="6" style="342" customWidth="1"/>
    <col min="21" max="21" width="7.5703125" style="541" customWidth="1"/>
    <col min="22" max="22" width="8.7109375" style="342" customWidth="1"/>
    <col min="23" max="23" width="6.7109375" style="342" customWidth="1"/>
    <col min="24" max="24" width="6" style="342" customWidth="1"/>
    <col min="25" max="28" width="11.42578125" style="431" customWidth="1"/>
    <col min="29" max="16384" width="8.85546875" style="431"/>
  </cols>
  <sheetData>
    <row r="1" spans="1:25" ht="44.25" customHeight="1" x14ac:dyDescent="0.2">
      <c r="A1" s="641"/>
      <c r="B1" s="642"/>
      <c r="C1" s="642"/>
      <c r="D1" s="2286"/>
      <c r="E1" s="644"/>
      <c r="F1" s="644"/>
      <c r="G1" s="644"/>
      <c r="H1" s="644"/>
      <c r="I1" s="2287"/>
      <c r="J1" s="2288"/>
      <c r="K1" s="2288"/>
      <c r="L1" s="2288"/>
      <c r="M1" s="2287"/>
      <c r="N1" s="2288"/>
      <c r="O1" s="2288"/>
      <c r="P1" s="2289"/>
      <c r="Q1" s="2289"/>
      <c r="R1" s="2289"/>
      <c r="S1" s="2289"/>
      <c r="T1" s="2289"/>
      <c r="U1" s="3274" t="s">
        <v>0</v>
      </c>
      <c r="V1" s="3274"/>
      <c r="W1" s="3274"/>
      <c r="X1" s="3275"/>
    </row>
    <row r="2" spans="1:25" ht="15.75" x14ac:dyDescent="0.25">
      <c r="A2" s="2678" t="s">
        <v>502</v>
      </c>
      <c r="B2" s="3276"/>
      <c r="C2" s="3276"/>
      <c r="D2" s="3276"/>
      <c r="E2" s="3276"/>
      <c r="F2" s="3276"/>
      <c r="G2" s="3276"/>
      <c r="H2" s="3276"/>
      <c r="I2" s="3276"/>
      <c r="J2" s="3276"/>
      <c r="K2" s="3276"/>
      <c r="L2" s="3276"/>
      <c r="M2" s="3276"/>
      <c r="N2" s="3276"/>
      <c r="O2" s="3276"/>
      <c r="P2" s="3276"/>
      <c r="Q2" s="3276"/>
      <c r="R2" s="3276"/>
      <c r="S2" s="3276"/>
      <c r="T2" s="3276"/>
      <c r="U2" s="3276"/>
      <c r="V2" s="3276"/>
      <c r="W2" s="3276"/>
      <c r="X2" s="3277"/>
    </row>
    <row r="3" spans="1:25" ht="13.5" thickBot="1" x14ac:dyDescent="0.25">
      <c r="A3" s="2747"/>
      <c r="B3" s="2748"/>
      <c r="C3" s="2748"/>
      <c r="D3" s="2748"/>
      <c r="E3" s="2748"/>
      <c r="F3" s="2748"/>
      <c r="G3" s="2748"/>
      <c r="H3" s="2748"/>
      <c r="I3" s="2240"/>
      <c r="J3" s="2240"/>
      <c r="K3" s="2952"/>
      <c r="L3" s="2952"/>
      <c r="M3" s="2240"/>
      <c r="N3" s="2240"/>
      <c r="O3" s="2952"/>
      <c r="P3" s="2952"/>
      <c r="Q3" s="2240"/>
      <c r="R3" s="2240"/>
      <c r="S3" s="2952"/>
      <c r="T3" s="2952"/>
      <c r="U3" s="2240"/>
      <c r="V3" s="2240"/>
      <c r="W3" s="2952" t="s">
        <v>2</v>
      </c>
      <c r="X3" s="3278"/>
    </row>
    <row r="4" spans="1:25" ht="13.15" customHeight="1" x14ac:dyDescent="0.2">
      <c r="A4" s="2663" t="s">
        <v>3</v>
      </c>
      <c r="B4" s="2650" t="s">
        <v>4</v>
      </c>
      <c r="C4" s="2663" t="s">
        <v>5</v>
      </c>
      <c r="D4" s="3272" t="s">
        <v>6</v>
      </c>
      <c r="E4" s="2663" t="s">
        <v>7</v>
      </c>
      <c r="F4" s="2663" t="s">
        <v>8</v>
      </c>
      <c r="G4" s="2650" t="s">
        <v>9</v>
      </c>
      <c r="H4" s="2663" t="s">
        <v>10</v>
      </c>
      <c r="I4" s="2656" t="s">
        <v>11</v>
      </c>
      <c r="J4" s="2654"/>
      <c r="K4" s="2654"/>
      <c r="L4" s="2655"/>
      <c r="M4" s="2656" t="s">
        <v>12</v>
      </c>
      <c r="N4" s="2654"/>
      <c r="O4" s="2654"/>
      <c r="P4" s="2655"/>
      <c r="Q4" s="2656" t="s">
        <v>13</v>
      </c>
      <c r="R4" s="2654"/>
      <c r="S4" s="2654"/>
      <c r="T4" s="2655"/>
      <c r="U4" s="2656" t="s">
        <v>14</v>
      </c>
      <c r="V4" s="2654"/>
      <c r="W4" s="2654"/>
      <c r="X4" s="2655"/>
    </row>
    <row r="5" spans="1:25" ht="13.15" customHeight="1" x14ac:dyDescent="0.2">
      <c r="A5" s="2664"/>
      <c r="B5" s="2651"/>
      <c r="C5" s="2664"/>
      <c r="D5" s="3273"/>
      <c r="E5" s="2664"/>
      <c r="F5" s="2664"/>
      <c r="G5" s="2651"/>
      <c r="H5" s="2664"/>
      <c r="I5" s="2644" t="s">
        <v>15</v>
      </c>
      <c r="J5" s="2646" t="s">
        <v>16</v>
      </c>
      <c r="K5" s="2646"/>
      <c r="L5" s="2647"/>
      <c r="M5" s="2644" t="s">
        <v>15</v>
      </c>
      <c r="N5" s="2646" t="s">
        <v>16</v>
      </c>
      <c r="O5" s="2646"/>
      <c r="P5" s="2647"/>
      <c r="Q5" s="2644" t="s">
        <v>15</v>
      </c>
      <c r="R5" s="2646" t="s">
        <v>16</v>
      </c>
      <c r="S5" s="2646"/>
      <c r="T5" s="2647"/>
      <c r="U5" s="2644" t="s">
        <v>15</v>
      </c>
      <c r="V5" s="2646" t="s">
        <v>16</v>
      </c>
      <c r="W5" s="2646"/>
      <c r="X5" s="2647"/>
    </row>
    <row r="6" spans="1:25" ht="13.15" customHeight="1" x14ac:dyDescent="0.2">
      <c r="A6" s="2665"/>
      <c r="B6" s="2651"/>
      <c r="C6" s="2665"/>
      <c r="D6" s="3273"/>
      <c r="E6" s="2670"/>
      <c r="F6" s="2665"/>
      <c r="G6" s="2651"/>
      <c r="H6" s="2665"/>
      <c r="I6" s="2644"/>
      <c r="J6" s="344" t="s">
        <v>17</v>
      </c>
      <c r="K6" s="344"/>
      <c r="L6" s="2648" t="s">
        <v>18</v>
      </c>
      <c r="M6" s="2644"/>
      <c r="N6" s="344" t="s">
        <v>17</v>
      </c>
      <c r="O6" s="344"/>
      <c r="P6" s="2648" t="s">
        <v>18</v>
      </c>
      <c r="Q6" s="2644"/>
      <c r="R6" s="344" t="s">
        <v>17</v>
      </c>
      <c r="S6" s="344"/>
      <c r="T6" s="2648" t="s">
        <v>18</v>
      </c>
      <c r="U6" s="2644"/>
      <c r="V6" s="344" t="s">
        <v>17</v>
      </c>
      <c r="W6" s="344"/>
      <c r="X6" s="2648" t="s">
        <v>18</v>
      </c>
    </row>
    <row r="7" spans="1:25" ht="50.25" thickBot="1" x14ac:dyDescent="0.25">
      <c r="A7" s="2666"/>
      <c r="B7" s="2651"/>
      <c r="C7" s="2666"/>
      <c r="D7" s="3273"/>
      <c r="E7" s="2671"/>
      <c r="F7" s="2666"/>
      <c r="G7" s="2652"/>
      <c r="H7" s="2666"/>
      <c r="I7" s="2645"/>
      <c r="J7" s="345" t="s">
        <v>15</v>
      </c>
      <c r="K7" s="346" t="s">
        <v>19</v>
      </c>
      <c r="L7" s="2649"/>
      <c r="M7" s="2645"/>
      <c r="N7" s="345" t="s">
        <v>15</v>
      </c>
      <c r="O7" s="346" t="s">
        <v>19</v>
      </c>
      <c r="P7" s="2649"/>
      <c r="Q7" s="2645"/>
      <c r="R7" s="345" t="s">
        <v>15</v>
      </c>
      <c r="S7" s="346" t="s">
        <v>19</v>
      </c>
      <c r="T7" s="2649"/>
      <c r="U7" s="2645"/>
      <c r="V7" s="345" t="s">
        <v>15</v>
      </c>
      <c r="W7" s="346" t="s">
        <v>19</v>
      </c>
      <c r="X7" s="2649"/>
    </row>
    <row r="8" spans="1:25" ht="13.5" thickBot="1" x14ac:dyDescent="0.25">
      <c r="A8" s="2634" t="s">
        <v>428</v>
      </c>
      <c r="B8" s="2765"/>
      <c r="C8" s="2765"/>
      <c r="D8" s="2765"/>
      <c r="E8" s="2765"/>
      <c r="F8" s="2765"/>
      <c r="G8" s="2765"/>
      <c r="H8" s="2765"/>
      <c r="I8" s="2765"/>
      <c r="J8" s="2765"/>
      <c r="K8" s="2765"/>
      <c r="L8" s="2765"/>
      <c r="M8" s="2765"/>
      <c r="N8" s="2765"/>
      <c r="O8" s="2765"/>
      <c r="P8" s="2765"/>
      <c r="Q8" s="2765"/>
      <c r="R8" s="2765"/>
      <c r="S8" s="2765"/>
      <c r="T8" s="2765"/>
      <c r="U8" s="2765"/>
      <c r="V8" s="2765"/>
      <c r="W8" s="2765"/>
      <c r="X8" s="2766"/>
    </row>
    <row r="9" spans="1:25" ht="13.5" thickBot="1" x14ac:dyDescent="0.25">
      <c r="A9" s="2637" t="s">
        <v>503</v>
      </c>
      <c r="B9" s="2767"/>
      <c r="C9" s="2767"/>
      <c r="D9" s="2767"/>
      <c r="E9" s="2767"/>
      <c r="F9" s="2767"/>
      <c r="G9" s="2767"/>
      <c r="H9" s="2767"/>
      <c r="I9" s="2767"/>
      <c r="J9" s="2767"/>
      <c r="K9" s="2767"/>
      <c r="L9" s="2767"/>
      <c r="M9" s="2767"/>
      <c r="N9" s="2767"/>
      <c r="O9" s="2767"/>
      <c r="P9" s="2767"/>
      <c r="Q9" s="2767"/>
      <c r="R9" s="2767"/>
      <c r="S9" s="2767"/>
      <c r="T9" s="2767"/>
      <c r="U9" s="2767"/>
      <c r="V9" s="2767"/>
      <c r="W9" s="2767"/>
      <c r="X9" s="2768"/>
    </row>
    <row r="10" spans="1:25" ht="13.5" thickBot="1" x14ac:dyDescent="0.25">
      <c r="A10" s="1068">
        <v>1</v>
      </c>
      <c r="B10" s="2717" t="s">
        <v>504</v>
      </c>
      <c r="C10" s="2550"/>
      <c r="D10" s="2550"/>
      <c r="E10" s="2550"/>
      <c r="F10" s="2550"/>
      <c r="G10" s="2550"/>
      <c r="H10" s="2550"/>
      <c r="I10" s="2550"/>
      <c r="J10" s="2550"/>
      <c r="K10" s="2550"/>
      <c r="L10" s="2550"/>
      <c r="M10" s="2550"/>
      <c r="N10" s="2550"/>
      <c r="O10" s="2550"/>
      <c r="P10" s="2550"/>
      <c r="Q10" s="2550"/>
      <c r="R10" s="2550"/>
      <c r="S10" s="2550"/>
      <c r="T10" s="2550"/>
      <c r="U10" s="2550"/>
      <c r="V10" s="2550"/>
      <c r="W10" s="2550"/>
      <c r="X10" s="2551"/>
    </row>
    <row r="11" spans="1:25" ht="13.5" customHeight="1" thickBot="1" x14ac:dyDescent="0.25">
      <c r="A11" s="607">
        <v>1</v>
      </c>
      <c r="B11" s="2392">
        <v>1</v>
      </c>
      <c r="C11" s="2564" t="s">
        <v>505</v>
      </c>
      <c r="D11" s="2553"/>
      <c r="E11" s="2553"/>
      <c r="F11" s="2553"/>
      <c r="G11" s="2553"/>
      <c r="H11" s="2553"/>
      <c r="I11" s="2553"/>
      <c r="J11" s="2553"/>
      <c r="K11" s="2553"/>
      <c r="L11" s="2553"/>
      <c r="M11" s="2553"/>
      <c r="N11" s="2553"/>
      <c r="O11" s="2553"/>
      <c r="P11" s="2553"/>
      <c r="Q11" s="2553"/>
      <c r="R11" s="2553"/>
      <c r="S11" s="2553"/>
      <c r="T11" s="2553"/>
      <c r="U11" s="2553"/>
      <c r="V11" s="2553"/>
      <c r="W11" s="2553"/>
      <c r="X11" s="2554"/>
    </row>
    <row r="12" spans="1:25" ht="15.75" customHeight="1" x14ac:dyDescent="0.2">
      <c r="A12" s="3196">
        <v>1</v>
      </c>
      <c r="B12" s="3198">
        <v>1</v>
      </c>
      <c r="C12" s="3130">
        <v>1</v>
      </c>
      <c r="D12" s="3259" t="s">
        <v>506</v>
      </c>
      <c r="E12" s="3213">
        <v>8</v>
      </c>
      <c r="F12" s="3130" t="s">
        <v>507</v>
      </c>
      <c r="G12" s="3130" t="s">
        <v>508</v>
      </c>
      <c r="H12" s="1069" t="s">
        <v>509</v>
      </c>
      <c r="I12" s="1070">
        <v>12540.8</v>
      </c>
      <c r="J12" s="129">
        <v>12540.8</v>
      </c>
      <c r="K12" s="129">
        <v>0</v>
      </c>
      <c r="L12" s="133">
        <v>0</v>
      </c>
      <c r="M12" s="129">
        <v>13081.2</v>
      </c>
      <c r="N12" s="129">
        <v>13081.2</v>
      </c>
      <c r="O12" s="129"/>
      <c r="P12" s="133"/>
      <c r="Q12" s="1070">
        <v>13081.2</v>
      </c>
      <c r="R12" s="129">
        <v>13081.2</v>
      </c>
      <c r="S12" s="129"/>
      <c r="T12" s="133"/>
      <c r="U12" s="1070">
        <v>13081.2</v>
      </c>
      <c r="V12" s="129">
        <v>13081.2</v>
      </c>
      <c r="W12" s="129"/>
      <c r="X12" s="133"/>
      <c r="Y12" s="1219"/>
    </row>
    <row r="13" spans="1:25" ht="23.25" thickBot="1" x14ac:dyDescent="0.25">
      <c r="A13" s="3192"/>
      <c r="B13" s="3193"/>
      <c r="C13" s="3132"/>
      <c r="D13" s="3194"/>
      <c r="E13" s="3214"/>
      <c r="F13" s="3131"/>
      <c r="G13" s="3131"/>
      <c r="H13" s="2425" t="s">
        <v>510</v>
      </c>
      <c r="I13" s="1071">
        <v>16.399999999999999</v>
      </c>
      <c r="J13" s="130">
        <v>16.399999999999999</v>
      </c>
      <c r="K13" s="1072"/>
      <c r="L13" s="1073"/>
      <c r="M13" s="1071">
        <v>2</v>
      </c>
      <c r="N13" s="130">
        <v>2</v>
      </c>
      <c r="O13" s="130"/>
      <c r="P13" s="151"/>
      <c r="Q13" s="1071"/>
      <c r="R13" s="130"/>
      <c r="S13" s="130"/>
      <c r="T13" s="151"/>
      <c r="U13" s="1071"/>
      <c r="V13" s="130"/>
      <c r="W13" s="130"/>
      <c r="X13" s="151"/>
      <c r="Y13" s="1219"/>
    </row>
    <row r="14" spans="1:25" ht="18.600000000000001" customHeight="1" thickBot="1" x14ac:dyDescent="0.25">
      <c r="A14" s="3192"/>
      <c r="B14" s="3193"/>
      <c r="C14" s="3132"/>
      <c r="D14" s="3194"/>
      <c r="E14" s="3214"/>
      <c r="F14" s="3172" t="s">
        <v>35</v>
      </c>
      <c r="G14" s="3173"/>
      <c r="H14" s="3174"/>
      <c r="I14" s="1074">
        <f>SUM(J14,L14)</f>
        <v>12557.199999999999</v>
      </c>
      <c r="J14" s="1075">
        <f>J12+J13</f>
        <v>12557.199999999999</v>
      </c>
      <c r="K14" s="1075">
        <f t="shared" ref="K14:L14" si="0">K12+K13</f>
        <v>0</v>
      </c>
      <c r="L14" s="1075">
        <f t="shared" si="0"/>
        <v>0</v>
      </c>
      <c r="M14" s="1074">
        <f>SUM(N14,P14)</f>
        <v>13083.2</v>
      </c>
      <c r="N14" s="1075">
        <f>N12+N13</f>
        <v>13083.2</v>
      </c>
      <c r="O14" s="1075">
        <f t="shared" ref="O14:P14" si="1">O12+O13</f>
        <v>0</v>
      </c>
      <c r="P14" s="1075">
        <f t="shared" si="1"/>
        <v>0</v>
      </c>
      <c r="Q14" s="1074">
        <f>SUM(R14,T14)</f>
        <v>13081.2</v>
      </c>
      <c r="R14" s="1075">
        <f>R12+R13</f>
        <v>13081.2</v>
      </c>
      <c r="S14" s="1075">
        <f t="shared" ref="S14:T14" si="2">S12+S13</f>
        <v>0</v>
      </c>
      <c r="T14" s="1076">
        <f t="shared" si="2"/>
        <v>0</v>
      </c>
      <c r="U14" s="1074">
        <f>SUM(V14,X14)</f>
        <v>13081.2</v>
      </c>
      <c r="V14" s="1075">
        <f>V12+V13</f>
        <v>13081.2</v>
      </c>
      <c r="W14" s="1075">
        <f t="shared" ref="W14:X14" si="3">W12+W13</f>
        <v>0</v>
      </c>
      <c r="X14" s="1076">
        <f t="shared" si="3"/>
        <v>0</v>
      </c>
      <c r="Y14" s="1219"/>
    </row>
    <row r="15" spans="1:25" ht="25.5" customHeight="1" thickBot="1" x14ac:dyDescent="0.25">
      <c r="A15" s="3196">
        <v>1</v>
      </c>
      <c r="B15" s="3198">
        <v>1</v>
      </c>
      <c r="C15" s="3168">
        <v>2</v>
      </c>
      <c r="D15" s="3169" t="s">
        <v>511</v>
      </c>
      <c r="E15" s="3225">
        <v>8</v>
      </c>
      <c r="F15" s="2410" t="s">
        <v>512</v>
      </c>
      <c r="G15" s="2410" t="s">
        <v>513</v>
      </c>
      <c r="H15" s="1069" t="s">
        <v>30</v>
      </c>
      <c r="I15" s="1070">
        <v>90.8</v>
      </c>
      <c r="J15" s="129">
        <v>90.8</v>
      </c>
      <c r="K15" s="129">
        <v>0</v>
      </c>
      <c r="L15" s="133">
        <v>0</v>
      </c>
      <c r="M15" s="1070">
        <v>120</v>
      </c>
      <c r="N15" s="129">
        <v>120</v>
      </c>
      <c r="O15" s="129">
        <v>0</v>
      </c>
      <c r="P15" s="133">
        <v>0</v>
      </c>
      <c r="Q15" s="1070">
        <v>120</v>
      </c>
      <c r="R15" s="129">
        <v>120</v>
      </c>
      <c r="S15" s="129">
        <v>0</v>
      </c>
      <c r="T15" s="133">
        <v>0</v>
      </c>
      <c r="U15" s="1070">
        <v>120</v>
      </c>
      <c r="V15" s="129">
        <v>120</v>
      </c>
      <c r="W15" s="129">
        <v>0</v>
      </c>
      <c r="X15" s="133">
        <v>0</v>
      </c>
      <c r="Y15" s="1219"/>
    </row>
    <row r="16" spans="1:25" ht="28.5" customHeight="1" thickBot="1" x14ac:dyDescent="0.25">
      <c r="A16" s="3192"/>
      <c r="B16" s="3193"/>
      <c r="C16" s="3132"/>
      <c r="D16" s="3194"/>
      <c r="E16" s="3214"/>
      <c r="F16" s="3172" t="s">
        <v>35</v>
      </c>
      <c r="G16" s="3173"/>
      <c r="H16" s="3174"/>
      <c r="I16" s="1077">
        <f t="shared" ref="I16:L16" si="4">SUM(I15:I15)</f>
        <v>90.8</v>
      </c>
      <c r="J16" s="1075">
        <f t="shared" si="4"/>
        <v>90.8</v>
      </c>
      <c r="K16" s="1075">
        <f t="shared" si="4"/>
        <v>0</v>
      </c>
      <c r="L16" s="1078">
        <f t="shared" si="4"/>
        <v>0</v>
      </c>
      <c r="M16" s="1074">
        <f t="shared" ref="M16" si="5">SUM(N16,P16)</f>
        <v>120</v>
      </c>
      <c r="N16" s="1075">
        <f>SUM(N15:N15)</f>
        <v>120</v>
      </c>
      <c r="O16" s="1075">
        <f>SUM(O15:O15)</f>
        <v>0</v>
      </c>
      <c r="P16" s="1076">
        <f>SUM(P15:P15)</f>
        <v>0</v>
      </c>
      <c r="Q16" s="1074">
        <f t="shared" ref="Q16:Q18" si="6">SUM(R16,T16)</f>
        <v>120</v>
      </c>
      <c r="R16" s="1075">
        <f>SUM(R15:R15)</f>
        <v>120</v>
      </c>
      <c r="S16" s="1075">
        <f>SUM(S15:S15)</f>
        <v>0</v>
      </c>
      <c r="T16" s="1076">
        <f>SUM(T15:T15)</f>
        <v>0</v>
      </c>
      <c r="U16" s="1074">
        <f t="shared" ref="U16" si="7">SUM(V16,X16)</f>
        <v>120</v>
      </c>
      <c r="V16" s="1075">
        <f>SUM(V15:V15)</f>
        <v>120</v>
      </c>
      <c r="W16" s="1075">
        <f>SUM(W15:W15)</f>
        <v>0</v>
      </c>
      <c r="X16" s="1076">
        <f>SUM(X15:X15)</f>
        <v>0</v>
      </c>
      <c r="Y16" s="1219"/>
    </row>
    <row r="17" spans="1:25" ht="19.5" customHeight="1" x14ac:dyDescent="0.2">
      <c r="A17" s="3196">
        <v>1</v>
      </c>
      <c r="B17" s="3198">
        <v>1</v>
      </c>
      <c r="C17" s="3168">
        <v>3</v>
      </c>
      <c r="D17" s="3169" t="s">
        <v>514</v>
      </c>
      <c r="E17" s="3225">
        <v>8</v>
      </c>
      <c r="F17" s="3130" t="s">
        <v>515</v>
      </c>
      <c r="G17" s="3130" t="s">
        <v>516</v>
      </c>
      <c r="H17" s="1069" t="s">
        <v>509</v>
      </c>
      <c r="I17" s="1070">
        <v>3173.5</v>
      </c>
      <c r="J17" s="129">
        <v>3173.5</v>
      </c>
      <c r="K17" s="129">
        <v>0</v>
      </c>
      <c r="L17" s="133">
        <v>0</v>
      </c>
      <c r="M17" s="129">
        <v>3167</v>
      </c>
      <c r="N17" s="129">
        <v>3167</v>
      </c>
      <c r="O17" s="129"/>
      <c r="P17" s="133"/>
      <c r="Q17" s="1070">
        <v>3167</v>
      </c>
      <c r="R17" s="129">
        <v>3167</v>
      </c>
      <c r="S17" s="129"/>
      <c r="T17" s="133"/>
      <c r="U17" s="1070">
        <v>3167</v>
      </c>
      <c r="V17" s="129">
        <v>3167</v>
      </c>
      <c r="W17" s="129"/>
      <c r="X17" s="133"/>
      <c r="Y17" s="1219"/>
    </row>
    <row r="18" spans="1:25" ht="13.5" customHeight="1" thickBot="1" x14ac:dyDescent="0.25">
      <c r="A18" s="3192"/>
      <c r="B18" s="3193"/>
      <c r="C18" s="3132"/>
      <c r="D18" s="3194"/>
      <c r="E18" s="3214"/>
      <c r="F18" s="3131"/>
      <c r="G18" s="3131"/>
      <c r="H18" s="2425" t="s">
        <v>510</v>
      </c>
      <c r="I18" s="1071">
        <v>0</v>
      </c>
      <c r="J18" s="130">
        <v>0</v>
      </c>
      <c r="K18" s="130">
        <v>0</v>
      </c>
      <c r="L18" s="151">
        <v>0</v>
      </c>
      <c r="M18" s="1071">
        <f t="shared" ref="M18" si="8">SUM(N18,P18)</f>
        <v>0</v>
      </c>
      <c r="N18" s="130"/>
      <c r="O18" s="130"/>
      <c r="P18" s="151"/>
      <c r="Q18" s="1071">
        <f t="shared" si="6"/>
        <v>0</v>
      </c>
      <c r="R18" s="130"/>
      <c r="S18" s="130"/>
      <c r="T18" s="151"/>
      <c r="U18" s="1071">
        <f t="shared" ref="U18" si="9">SUM(V18,X18)</f>
        <v>0</v>
      </c>
      <c r="V18" s="130"/>
      <c r="W18" s="130"/>
      <c r="X18" s="151"/>
      <c r="Y18" s="1219"/>
    </row>
    <row r="19" spans="1:25" ht="20.65" customHeight="1" thickBot="1" x14ac:dyDescent="0.25">
      <c r="A19" s="3192"/>
      <c r="B19" s="3193"/>
      <c r="C19" s="3132"/>
      <c r="D19" s="3194"/>
      <c r="E19" s="3214"/>
      <c r="F19" s="3177" t="s">
        <v>517</v>
      </c>
      <c r="G19" s="3178"/>
      <c r="H19" s="3179"/>
      <c r="I19" s="1074">
        <f>SUM(J19,L19)</f>
        <v>3173.5</v>
      </c>
      <c r="J19" s="1079">
        <f>SUM(J17:J18)</f>
        <v>3173.5</v>
      </c>
      <c r="K19" s="1080">
        <f t="shared" ref="K19:L19" si="10">SUM(K17:K18)</f>
        <v>0</v>
      </c>
      <c r="L19" s="1080">
        <f t="shared" si="10"/>
        <v>0</v>
      </c>
      <c r="M19" s="1074">
        <f>SUM(N19,P19)</f>
        <v>3167</v>
      </c>
      <c r="N19" s="1079">
        <f>SUM(N17:N18)</f>
        <v>3167</v>
      </c>
      <c r="O19" s="1080">
        <f t="shared" ref="O19:P19" si="11">SUM(O17:O18)</f>
        <v>0</v>
      </c>
      <c r="P19" s="1080">
        <f t="shared" si="11"/>
        <v>0</v>
      </c>
      <c r="Q19" s="1074">
        <f>SUM(R19,T19)</f>
        <v>3167</v>
      </c>
      <c r="R19" s="1075">
        <f>SUM(R17:R18)</f>
        <v>3167</v>
      </c>
      <c r="S19" s="1078">
        <f t="shared" ref="S19:T19" si="12">SUM(S17:S18)</f>
        <v>0</v>
      </c>
      <c r="T19" s="1076">
        <f t="shared" si="12"/>
        <v>0</v>
      </c>
      <c r="U19" s="1074">
        <f>SUM(V19,X19)</f>
        <v>3167</v>
      </c>
      <c r="V19" s="1075">
        <f>SUM(V17:V18)</f>
        <v>3167</v>
      </c>
      <c r="W19" s="1078">
        <f t="shared" ref="W19:X19" si="13">SUM(W17:W18)</f>
        <v>0</v>
      </c>
      <c r="X19" s="1076">
        <f t="shared" si="13"/>
        <v>0</v>
      </c>
      <c r="Y19" s="1219"/>
    </row>
    <row r="20" spans="1:25" ht="15" customHeight="1" x14ac:dyDescent="0.2">
      <c r="A20" s="3196">
        <v>1</v>
      </c>
      <c r="B20" s="3198">
        <v>1</v>
      </c>
      <c r="C20" s="3168">
        <v>4</v>
      </c>
      <c r="D20" s="3206" t="s">
        <v>518</v>
      </c>
      <c r="E20" s="3225">
        <v>8</v>
      </c>
      <c r="F20" s="3271" t="s">
        <v>519</v>
      </c>
      <c r="G20" s="3132" t="s">
        <v>520</v>
      </c>
      <c r="H20" s="1069" t="s">
        <v>33</v>
      </c>
      <c r="I20" s="1081">
        <v>234.7</v>
      </c>
      <c r="J20" s="129">
        <v>234.7</v>
      </c>
      <c r="K20" s="129">
        <v>0</v>
      </c>
      <c r="L20" s="133">
        <v>0</v>
      </c>
      <c r="M20" s="129">
        <v>229.1</v>
      </c>
      <c r="N20" s="129">
        <v>229.1</v>
      </c>
      <c r="O20" s="129"/>
      <c r="P20" s="133"/>
      <c r="Q20" s="1070">
        <v>229.1</v>
      </c>
      <c r="R20" s="129">
        <v>229.1</v>
      </c>
      <c r="S20" s="129"/>
      <c r="T20" s="133"/>
      <c r="U20" s="1070">
        <v>229.1</v>
      </c>
      <c r="V20" s="129">
        <v>229.1</v>
      </c>
      <c r="W20" s="129"/>
      <c r="X20" s="133"/>
      <c r="Y20" s="1219"/>
    </row>
    <row r="21" spans="1:25" x14ac:dyDescent="0.2">
      <c r="A21" s="3192"/>
      <c r="B21" s="3193"/>
      <c r="C21" s="3132"/>
      <c r="D21" s="3207"/>
      <c r="E21" s="3214"/>
      <c r="F21" s="3271"/>
      <c r="G21" s="3132"/>
      <c r="H21" s="2425" t="s">
        <v>521</v>
      </c>
      <c r="I21" s="1082">
        <v>0</v>
      </c>
      <c r="J21" s="130">
        <v>0</v>
      </c>
      <c r="K21" s="130"/>
      <c r="L21" s="153"/>
      <c r="M21" s="1083">
        <v>125.3</v>
      </c>
      <c r="N21" s="130">
        <v>125.3</v>
      </c>
      <c r="O21" s="152"/>
      <c r="P21" s="153"/>
      <c r="Q21" s="1071"/>
      <c r="R21" s="130"/>
      <c r="S21" s="152"/>
      <c r="T21" s="153"/>
      <c r="U21" s="1071"/>
      <c r="V21" s="130"/>
      <c r="W21" s="152"/>
      <c r="X21" s="153"/>
      <c r="Y21" s="1219"/>
    </row>
    <row r="22" spans="1:25" ht="14.25" customHeight="1" thickBot="1" x14ac:dyDescent="0.25">
      <c r="A22" s="3192"/>
      <c r="B22" s="3193"/>
      <c r="C22" s="3132"/>
      <c r="D22" s="3207"/>
      <c r="E22" s="3214"/>
      <c r="F22" s="3271"/>
      <c r="G22" s="3132"/>
      <c r="H22" s="2430" t="s">
        <v>30</v>
      </c>
      <c r="I22" s="131">
        <v>1312.4</v>
      </c>
      <c r="J22" s="131">
        <v>1312.4</v>
      </c>
      <c r="K22" s="131">
        <v>0</v>
      </c>
      <c r="L22" s="143">
        <v>0</v>
      </c>
      <c r="M22" s="1084">
        <v>1473.4</v>
      </c>
      <c r="N22" s="131">
        <f>2073.4-600</f>
        <v>1473.4</v>
      </c>
      <c r="O22" s="142">
        <v>0</v>
      </c>
      <c r="P22" s="143">
        <v>0</v>
      </c>
      <c r="Q22" s="1082">
        <f t="shared" ref="Q22" si="14">SUM(R22,T22)</f>
        <v>2073.4</v>
      </c>
      <c r="R22" s="131">
        <v>2073.4</v>
      </c>
      <c r="S22" s="142">
        <v>0</v>
      </c>
      <c r="T22" s="143">
        <v>0</v>
      </c>
      <c r="U22" s="1082">
        <v>2073.4</v>
      </c>
      <c r="V22" s="131">
        <v>2073.4</v>
      </c>
      <c r="W22" s="142">
        <v>0</v>
      </c>
      <c r="X22" s="143">
        <v>0</v>
      </c>
      <c r="Y22" s="1219"/>
    </row>
    <row r="23" spans="1:25" ht="15" customHeight="1" thickBot="1" x14ac:dyDescent="0.25">
      <c r="A23" s="3192"/>
      <c r="B23" s="3193"/>
      <c r="C23" s="3132"/>
      <c r="D23" s="3207"/>
      <c r="E23" s="3214"/>
      <c r="F23" s="3177" t="s">
        <v>35</v>
      </c>
      <c r="G23" s="3178"/>
      <c r="H23" s="3179"/>
      <c r="I23" s="1074">
        <f>SUM(J23,L23)</f>
        <v>1547.1000000000001</v>
      </c>
      <c r="J23" s="1075">
        <f>SUM(J20:J22)</f>
        <v>1547.1000000000001</v>
      </c>
      <c r="K23" s="1075">
        <f>SUM(K20:K22)</f>
        <v>0</v>
      </c>
      <c r="L23" s="1078">
        <f>SUM(L20:L22)</f>
        <v>0</v>
      </c>
      <c r="M23" s="1074">
        <f>SUM(N23,P23)</f>
        <v>1827.8000000000002</v>
      </c>
      <c r="N23" s="1075">
        <f>SUM(N20:N22)</f>
        <v>1827.8000000000002</v>
      </c>
      <c r="O23" s="1075">
        <f>SUM(O20:O22)</f>
        <v>0</v>
      </c>
      <c r="P23" s="1076">
        <f>SUM(P20:P22)</f>
        <v>0</v>
      </c>
      <c r="Q23" s="1074">
        <f>SUM(R23,T23)</f>
        <v>2302.5</v>
      </c>
      <c r="R23" s="1075">
        <f>SUM(R20:R22)</f>
        <v>2302.5</v>
      </c>
      <c r="S23" s="1075">
        <f>SUM(S20:S22)</f>
        <v>0</v>
      </c>
      <c r="T23" s="1076">
        <f>SUM(T20:T22)</f>
        <v>0</v>
      </c>
      <c r="U23" s="1074">
        <f>SUM(V23,X23)</f>
        <v>2302.5</v>
      </c>
      <c r="V23" s="1075">
        <f>SUM(V20:V22)</f>
        <v>2302.5</v>
      </c>
      <c r="W23" s="1075">
        <f>SUM(W20:W22)</f>
        <v>0</v>
      </c>
      <c r="X23" s="1076">
        <f>SUM(X20:X22)</f>
        <v>0</v>
      </c>
      <c r="Y23" s="1219"/>
    </row>
    <row r="24" spans="1:25" ht="14.25" customHeight="1" x14ac:dyDescent="0.2">
      <c r="A24" s="3196">
        <v>1</v>
      </c>
      <c r="B24" s="3198">
        <v>1</v>
      </c>
      <c r="C24" s="3168">
        <v>5</v>
      </c>
      <c r="D24" s="3169" t="s">
        <v>522</v>
      </c>
      <c r="E24" s="3225">
        <v>9</v>
      </c>
      <c r="F24" s="3271" t="s">
        <v>523</v>
      </c>
      <c r="G24" s="3132" t="s">
        <v>524</v>
      </c>
      <c r="H24" s="2423" t="s">
        <v>30</v>
      </c>
      <c r="I24" s="1081">
        <v>37.299999999999997</v>
      </c>
      <c r="J24" s="129">
        <v>37.299999999999997</v>
      </c>
      <c r="K24" s="129">
        <v>0</v>
      </c>
      <c r="L24" s="133">
        <v>0</v>
      </c>
      <c r="M24" s="1070">
        <v>215</v>
      </c>
      <c r="N24" s="129">
        <v>215</v>
      </c>
      <c r="O24" s="129"/>
      <c r="P24" s="133"/>
      <c r="Q24" s="1070">
        <v>215</v>
      </c>
      <c r="R24" s="129">
        <v>215</v>
      </c>
      <c r="S24" s="129"/>
      <c r="T24" s="133"/>
      <c r="U24" s="1070">
        <v>215</v>
      </c>
      <c r="V24" s="129">
        <v>215</v>
      </c>
      <c r="W24" s="129"/>
      <c r="X24" s="133"/>
      <c r="Y24" s="1219"/>
    </row>
    <row r="25" spans="1:25" ht="18" customHeight="1" thickBot="1" x14ac:dyDescent="0.25">
      <c r="A25" s="3192"/>
      <c r="B25" s="3193"/>
      <c r="C25" s="3132"/>
      <c r="D25" s="3194"/>
      <c r="E25" s="3214"/>
      <c r="F25" s="3271"/>
      <c r="G25" s="3132"/>
      <c r="H25" s="2430" t="s">
        <v>31</v>
      </c>
      <c r="I25" s="148">
        <v>121.4</v>
      </c>
      <c r="J25" s="131">
        <v>121.4</v>
      </c>
      <c r="K25" s="131">
        <v>0</v>
      </c>
      <c r="L25" s="143">
        <v>0</v>
      </c>
      <c r="M25" s="1084">
        <v>0</v>
      </c>
      <c r="N25" s="131">
        <v>0</v>
      </c>
      <c r="O25" s="142">
        <v>0</v>
      </c>
      <c r="P25" s="143">
        <v>0</v>
      </c>
      <c r="Q25" s="1082">
        <v>0</v>
      </c>
      <c r="R25" s="131">
        <v>0</v>
      </c>
      <c r="S25" s="142">
        <v>0</v>
      </c>
      <c r="T25" s="143">
        <v>0</v>
      </c>
      <c r="U25" s="1082">
        <v>0</v>
      </c>
      <c r="V25" s="131">
        <v>0</v>
      </c>
      <c r="W25" s="142">
        <v>0</v>
      </c>
      <c r="X25" s="143">
        <v>0</v>
      </c>
      <c r="Y25" s="1219"/>
    </row>
    <row r="26" spans="1:25" ht="15" customHeight="1" thickBot="1" x14ac:dyDescent="0.25">
      <c r="A26" s="3192"/>
      <c r="B26" s="3193"/>
      <c r="C26" s="3132"/>
      <c r="D26" s="3219"/>
      <c r="E26" s="3214"/>
      <c r="F26" s="3177" t="s">
        <v>35</v>
      </c>
      <c r="G26" s="3178"/>
      <c r="H26" s="3179"/>
      <c r="I26" s="1085">
        <f>SUM(J26,L26)</f>
        <v>158.69999999999999</v>
      </c>
      <c r="J26" s="1075">
        <f>SUM(J24:J25)</f>
        <v>158.69999999999999</v>
      </c>
      <c r="K26" s="1075">
        <f>SUM(K24:K25)</f>
        <v>0</v>
      </c>
      <c r="L26" s="1078">
        <f>SUM(L24:L25)</f>
        <v>0</v>
      </c>
      <c r="M26" s="1074">
        <f>SUM(N26,P26)</f>
        <v>215</v>
      </c>
      <c r="N26" s="1075">
        <f>SUM(N24:N25)</f>
        <v>215</v>
      </c>
      <c r="O26" s="1075">
        <f>SUM(O24:O25)</f>
        <v>0</v>
      </c>
      <c r="P26" s="1076">
        <f>SUM(P24:P25)</f>
        <v>0</v>
      </c>
      <c r="Q26" s="1074">
        <f>SUM(R26,T26)</f>
        <v>215</v>
      </c>
      <c r="R26" s="1075">
        <f>SUM(R24:R25)</f>
        <v>215</v>
      </c>
      <c r="S26" s="1075">
        <f>SUM(S24:S25)</f>
        <v>0</v>
      </c>
      <c r="T26" s="1076">
        <f>SUM(T24:T25)</f>
        <v>0</v>
      </c>
      <c r="U26" s="1074">
        <f>SUM(V26,X26)</f>
        <v>215</v>
      </c>
      <c r="V26" s="1075">
        <f>SUM(V24:V25)</f>
        <v>215</v>
      </c>
      <c r="W26" s="1075">
        <f>SUM(W24:W25)</f>
        <v>0</v>
      </c>
      <c r="X26" s="1076">
        <f>SUM(X24:X25)</f>
        <v>0</v>
      </c>
      <c r="Y26" s="1219"/>
    </row>
    <row r="27" spans="1:25" ht="18.75" customHeight="1" thickBot="1" x14ac:dyDescent="0.25">
      <c r="A27" s="3196">
        <v>1</v>
      </c>
      <c r="B27" s="3198">
        <v>1</v>
      </c>
      <c r="C27" s="3168">
        <v>6</v>
      </c>
      <c r="D27" s="3169" t="s">
        <v>525</v>
      </c>
      <c r="E27" s="3225">
        <v>8</v>
      </c>
      <c r="F27" s="2419" t="s">
        <v>507</v>
      </c>
      <c r="G27" s="2415" t="s">
        <v>526</v>
      </c>
      <c r="H27" s="2423" t="s">
        <v>33</v>
      </c>
      <c r="I27" s="1087">
        <v>658.8</v>
      </c>
      <c r="J27" s="1088">
        <v>658.8</v>
      </c>
      <c r="K27" s="1088">
        <v>0</v>
      </c>
      <c r="L27" s="133">
        <v>0</v>
      </c>
      <c r="M27" s="129">
        <v>788.8</v>
      </c>
      <c r="N27" s="129">
        <v>788.8</v>
      </c>
      <c r="O27" s="129"/>
      <c r="P27" s="133"/>
      <c r="Q27" s="1070">
        <v>788.8</v>
      </c>
      <c r="R27" s="129">
        <v>788.8</v>
      </c>
      <c r="S27" s="129"/>
      <c r="T27" s="133"/>
      <c r="U27" s="1070">
        <v>788.8</v>
      </c>
      <c r="V27" s="129">
        <v>788.8</v>
      </c>
      <c r="W27" s="129"/>
      <c r="X27" s="133"/>
      <c r="Y27" s="1219"/>
    </row>
    <row r="28" spans="1:25" ht="18" customHeight="1" thickBot="1" x14ac:dyDescent="0.25">
      <c r="A28" s="3192"/>
      <c r="B28" s="3193"/>
      <c r="C28" s="3132"/>
      <c r="D28" s="3194"/>
      <c r="E28" s="3214"/>
      <c r="F28" s="3172" t="s">
        <v>35</v>
      </c>
      <c r="G28" s="3173"/>
      <c r="H28" s="3174"/>
      <c r="I28" s="1085">
        <f>SUM(J28,L28)</f>
        <v>658.8</v>
      </c>
      <c r="J28" s="1089">
        <f>SUM(J27:J27)</f>
        <v>658.8</v>
      </c>
      <c r="K28" s="1089">
        <f>SUM(K27:K27)</f>
        <v>0</v>
      </c>
      <c r="L28" s="1078">
        <f>SUM(L27:L27)</f>
        <v>0</v>
      </c>
      <c r="M28" s="1074">
        <f>SUM(N28,P28)</f>
        <v>788.8</v>
      </c>
      <c r="N28" s="1075">
        <f>SUM(N27:N27)</f>
        <v>788.8</v>
      </c>
      <c r="O28" s="1075">
        <f>SUM(O27:O27)</f>
        <v>0</v>
      </c>
      <c r="P28" s="1076">
        <f>SUM(P27:P27)</f>
        <v>0</v>
      </c>
      <c r="Q28" s="1074">
        <f>SUM(R28,T28)</f>
        <v>788.8</v>
      </c>
      <c r="R28" s="1075">
        <f>SUM(R27:R27)</f>
        <v>788.8</v>
      </c>
      <c r="S28" s="1075">
        <f>SUM(S27:S27)</f>
        <v>0</v>
      </c>
      <c r="T28" s="1076">
        <f>SUM(T27:T27)</f>
        <v>0</v>
      </c>
      <c r="U28" s="1074">
        <f>SUM(V28,X28)</f>
        <v>788.8</v>
      </c>
      <c r="V28" s="1075">
        <f>SUM(V27:V27)</f>
        <v>788.8</v>
      </c>
      <c r="W28" s="1075">
        <f>SUM(W27:W27)</f>
        <v>0</v>
      </c>
      <c r="X28" s="1076">
        <f>SUM(X27:X27)</f>
        <v>0</v>
      </c>
      <c r="Y28" s="1219"/>
    </row>
    <row r="29" spans="1:25" ht="13.5" customHeight="1" thickBot="1" x14ac:dyDescent="0.25">
      <c r="A29" s="2431">
        <v>1</v>
      </c>
      <c r="B29" s="1090">
        <v>1</v>
      </c>
      <c r="C29" s="3180" t="s">
        <v>234</v>
      </c>
      <c r="D29" s="3181"/>
      <c r="E29" s="3181"/>
      <c r="F29" s="3181"/>
      <c r="G29" s="3181"/>
      <c r="H29" s="3182"/>
      <c r="I29" s="1091">
        <f t="shared" ref="I29" si="15">SUM(J29,L29)</f>
        <v>18186.099999999999</v>
      </c>
      <c r="J29" s="1092">
        <f>J14+J16+J19+J23+J26+J28</f>
        <v>18186.099999999999</v>
      </c>
      <c r="K29" s="1092">
        <f>K14+K16+K19+K23+K26+K28</f>
        <v>0</v>
      </c>
      <c r="L29" s="1092">
        <f>L14+L16+L19+L23+L26+L28</f>
        <v>0</v>
      </c>
      <c r="M29" s="1091">
        <f t="shared" ref="M29" si="16">SUM(N29,P29)</f>
        <v>19201.8</v>
      </c>
      <c r="N29" s="1092">
        <f>N14+N16+N19+N23+N26+N28</f>
        <v>19201.8</v>
      </c>
      <c r="O29" s="1092">
        <f>O14+O16+O19+O23+O26+O28</f>
        <v>0</v>
      </c>
      <c r="P29" s="1092">
        <f>P14+P16+P19+P23+P26+P28</f>
        <v>0</v>
      </c>
      <c r="Q29" s="1091">
        <f t="shared" ref="Q29" si="17">SUM(R29,T29)</f>
        <v>19674.5</v>
      </c>
      <c r="R29" s="1092">
        <f>R14+R16+R19+R23+R26+R28</f>
        <v>19674.5</v>
      </c>
      <c r="S29" s="1092">
        <f>S14+S16+S19+S23+S26+S28</f>
        <v>0</v>
      </c>
      <c r="T29" s="1092">
        <f>T14+T16+T19+T23+T26+T28</f>
        <v>0</v>
      </c>
      <c r="U29" s="1091">
        <f t="shared" ref="U29" si="18">SUM(V29,X29)</f>
        <v>19674.5</v>
      </c>
      <c r="V29" s="1092">
        <f>V14+V16+V19+V23+V26+V28</f>
        <v>19674.5</v>
      </c>
      <c r="W29" s="1092">
        <f>W14+W16+W19+W23+W26+W28</f>
        <v>0</v>
      </c>
      <c r="X29" s="2290">
        <f>X14+X16+X19+X23+X26+X28</f>
        <v>0</v>
      </c>
      <c r="Y29" s="1219"/>
    </row>
    <row r="30" spans="1:25" ht="13.5" customHeight="1" thickBot="1" x14ac:dyDescent="0.25">
      <c r="A30" s="2413">
        <v>1</v>
      </c>
      <c r="B30" s="1090">
        <v>2</v>
      </c>
      <c r="C30" s="3189" t="s">
        <v>527</v>
      </c>
      <c r="D30" s="3190"/>
      <c r="E30" s="3190"/>
      <c r="F30" s="3190"/>
      <c r="G30" s="3190"/>
      <c r="H30" s="3190"/>
      <c r="I30" s="3190"/>
      <c r="J30" s="3190"/>
      <c r="K30" s="3190"/>
      <c r="L30" s="3190"/>
      <c r="M30" s="3190"/>
      <c r="N30" s="3190"/>
      <c r="O30" s="3190"/>
      <c r="P30" s="3190"/>
      <c r="Q30" s="3190"/>
      <c r="R30" s="3190"/>
      <c r="S30" s="3190"/>
      <c r="T30" s="3190"/>
      <c r="U30" s="3190"/>
      <c r="V30" s="3190"/>
      <c r="W30" s="3190"/>
      <c r="X30" s="3191"/>
      <c r="Y30" s="1219"/>
    </row>
    <row r="31" spans="1:25" ht="26.25" customHeight="1" thickBot="1" x14ac:dyDescent="0.25">
      <c r="A31" s="3196">
        <v>1</v>
      </c>
      <c r="B31" s="3198">
        <v>2</v>
      </c>
      <c r="C31" s="3270">
        <v>1</v>
      </c>
      <c r="D31" s="3194" t="s">
        <v>528</v>
      </c>
      <c r="E31" s="3232">
        <v>8</v>
      </c>
      <c r="F31" s="2415" t="s">
        <v>529</v>
      </c>
      <c r="G31" s="2411" t="s">
        <v>530</v>
      </c>
      <c r="H31" s="2425" t="s">
        <v>30</v>
      </c>
      <c r="I31" s="1093">
        <v>11.3</v>
      </c>
      <c r="J31" s="130">
        <v>11.3</v>
      </c>
      <c r="K31" s="130">
        <v>0</v>
      </c>
      <c r="L31" s="151">
        <v>0</v>
      </c>
      <c r="M31" s="1071">
        <v>7</v>
      </c>
      <c r="N31" s="130">
        <v>7</v>
      </c>
      <c r="O31" s="130"/>
      <c r="P31" s="151"/>
      <c r="Q31" s="1071">
        <v>7</v>
      </c>
      <c r="R31" s="130">
        <v>7</v>
      </c>
      <c r="S31" s="130"/>
      <c r="T31" s="151"/>
      <c r="U31" s="1071">
        <v>7</v>
      </c>
      <c r="V31" s="130">
        <v>7</v>
      </c>
      <c r="W31" s="130"/>
      <c r="X31" s="151"/>
      <c r="Y31" s="1219"/>
    </row>
    <row r="32" spans="1:25" ht="31.5" customHeight="1" thickBot="1" x14ac:dyDescent="0.25">
      <c r="A32" s="3197"/>
      <c r="B32" s="3199"/>
      <c r="C32" s="3266"/>
      <c r="D32" s="3219"/>
      <c r="E32" s="3245"/>
      <c r="F32" s="3177" t="s">
        <v>35</v>
      </c>
      <c r="G32" s="3178"/>
      <c r="H32" s="3179"/>
      <c r="I32" s="1077">
        <f>SUM(J32,L32)</f>
        <v>11.3</v>
      </c>
      <c r="J32" s="1075">
        <f>SUM(J31:J31)</f>
        <v>11.3</v>
      </c>
      <c r="K32" s="1075">
        <f>SUM(K31:K31)</f>
        <v>0</v>
      </c>
      <c r="L32" s="1078">
        <f>SUM(L31:L31)</f>
        <v>0</v>
      </c>
      <c r="M32" s="1074">
        <f>SUM(N32,P32)</f>
        <v>7</v>
      </c>
      <c r="N32" s="1075">
        <f>SUM(N31:N31)</f>
        <v>7</v>
      </c>
      <c r="O32" s="1075">
        <f>SUM(O31:O31)</f>
        <v>0</v>
      </c>
      <c r="P32" s="1076">
        <f>SUM(P31:P31)</f>
        <v>0</v>
      </c>
      <c r="Q32" s="1074">
        <f>SUM(R32,T32)</f>
        <v>7</v>
      </c>
      <c r="R32" s="1075">
        <f>SUM(R31:R31)</f>
        <v>7</v>
      </c>
      <c r="S32" s="1075">
        <f>SUM(S31:S31)</f>
        <v>0</v>
      </c>
      <c r="T32" s="1076">
        <f>SUM(T31:T31)</f>
        <v>0</v>
      </c>
      <c r="U32" s="1074">
        <f>SUM(V32,X32)</f>
        <v>7</v>
      </c>
      <c r="V32" s="1075">
        <f>SUM(V31:V31)</f>
        <v>7</v>
      </c>
      <c r="W32" s="1075">
        <f>SUM(W31:W31)</f>
        <v>0</v>
      </c>
      <c r="X32" s="1076">
        <f>SUM(X31:X31)</f>
        <v>0</v>
      </c>
      <c r="Y32" s="1219"/>
    </row>
    <row r="33" spans="1:32" ht="18.75" customHeight="1" x14ac:dyDescent="0.2">
      <c r="A33" s="3196">
        <v>1</v>
      </c>
      <c r="B33" s="3198">
        <v>2</v>
      </c>
      <c r="C33" s="3265">
        <v>2</v>
      </c>
      <c r="D33" s="3169" t="s">
        <v>531</v>
      </c>
      <c r="E33" s="3267">
        <v>8</v>
      </c>
      <c r="F33" s="3268" t="s">
        <v>512</v>
      </c>
      <c r="G33" s="3130" t="s">
        <v>532</v>
      </c>
      <c r="H33" s="2422" t="s">
        <v>30</v>
      </c>
      <c r="I33" s="1094">
        <v>24.8</v>
      </c>
      <c r="J33" s="1072">
        <v>24.8</v>
      </c>
      <c r="K33" s="130">
        <v>0</v>
      </c>
      <c r="L33" s="151">
        <v>0</v>
      </c>
      <c r="M33" s="1071">
        <f>SUM(N33,P33)</f>
        <v>20</v>
      </c>
      <c r="N33" s="130">
        <v>20</v>
      </c>
      <c r="O33" s="130"/>
      <c r="P33" s="151"/>
      <c r="Q33" s="1071">
        <f>SUM(R33,T33)</f>
        <v>20</v>
      </c>
      <c r="R33" s="130">
        <v>20</v>
      </c>
      <c r="S33" s="130"/>
      <c r="T33" s="151"/>
      <c r="U33" s="1071">
        <f>SUM(V33,X33)</f>
        <v>20</v>
      </c>
      <c r="V33" s="130">
        <v>20</v>
      </c>
      <c r="W33" s="130"/>
      <c r="X33" s="151"/>
      <c r="Y33" s="1219"/>
    </row>
    <row r="34" spans="1:32" ht="18.75" customHeight="1" thickBot="1" x14ac:dyDescent="0.25">
      <c r="A34" s="3192"/>
      <c r="B34" s="3193"/>
      <c r="C34" s="3201"/>
      <c r="D34" s="3194"/>
      <c r="E34" s="3233"/>
      <c r="F34" s="3269"/>
      <c r="G34" s="3131"/>
      <c r="H34" s="2426" t="s">
        <v>509</v>
      </c>
      <c r="I34" s="1095">
        <v>14</v>
      </c>
      <c r="J34" s="152">
        <v>14</v>
      </c>
      <c r="K34" s="152"/>
      <c r="L34" s="1096"/>
      <c r="M34" s="1083">
        <v>14</v>
      </c>
      <c r="N34" s="152">
        <v>14</v>
      </c>
      <c r="O34" s="152"/>
      <c r="P34" s="153"/>
      <c r="Q34" s="1083">
        <v>14</v>
      </c>
      <c r="R34" s="152">
        <v>14</v>
      </c>
      <c r="S34" s="152"/>
      <c r="T34" s="153"/>
      <c r="U34" s="1083">
        <v>14</v>
      </c>
      <c r="V34" s="152">
        <v>14</v>
      </c>
      <c r="W34" s="152"/>
      <c r="X34" s="153"/>
      <c r="Y34" s="1219"/>
    </row>
    <row r="35" spans="1:32" ht="18" customHeight="1" thickBot="1" x14ac:dyDescent="0.25">
      <c r="A35" s="3197"/>
      <c r="B35" s="3199"/>
      <c r="C35" s="3266"/>
      <c r="D35" s="3219"/>
      <c r="E35" s="3245"/>
      <c r="F35" s="3261" t="s">
        <v>35</v>
      </c>
      <c r="G35" s="3262"/>
      <c r="H35" s="3263"/>
      <c r="I35" s="1097">
        <f>SUM(J35,L35)</f>
        <v>38.799999999999997</v>
      </c>
      <c r="J35" s="1075">
        <f>J33+J34</f>
        <v>38.799999999999997</v>
      </c>
      <c r="K35" s="1075">
        <f t="shared" ref="K35:L35" si="19">K33+K34</f>
        <v>0</v>
      </c>
      <c r="L35" s="1075">
        <f t="shared" si="19"/>
        <v>0</v>
      </c>
      <c r="M35" s="1074">
        <f>SUM(N35,P35)</f>
        <v>34</v>
      </c>
      <c r="N35" s="1075">
        <f>N33+N34</f>
        <v>34</v>
      </c>
      <c r="O35" s="1075">
        <f t="shared" ref="O35:P35" si="20">O33+O34</f>
        <v>0</v>
      </c>
      <c r="P35" s="1075">
        <f t="shared" si="20"/>
        <v>0</v>
      </c>
      <c r="Q35" s="1074">
        <f>SUM(R35,T35)</f>
        <v>34</v>
      </c>
      <c r="R35" s="1075">
        <f>R33+R34</f>
        <v>34</v>
      </c>
      <c r="S35" s="1075">
        <f t="shared" ref="S35:T35" si="21">S33+S34</f>
        <v>0</v>
      </c>
      <c r="T35" s="1076">
        <f t="shared" si="21"/>
        <v>0</v>
      </c>
      <c r="U35" s="1074">
        <f>SUM(V35,X35)</f>
        <v>34</v>
      </c>
      <c r="V35" s="1075">
        <f>V33+V34</f>
        <v>34</v>
      </c>
      <c r="W35" s="1075">
        <f t="shared" ref="W35:X35" si="22">W33+W34</f>
        <v>0</v>
      </c>
      <c r="X35" s="1076">
        <f t="shared" si="22"/>
        <v>0</v>
      </c>
      <c r="Y35" s="1219"/>
    </row>
    <row r="36" spans="1:32" ht="18.75" customHeight="1" thickBot="1" x14ac:dyDescent="0.25">
      <c r="A36" s="3192">
        <v>1</v>
      </c>
      <c r="B36" s="3193">
        <v>2</v>
      </c>
      <c r="C36" s="3201">
        <v>3</v>
      </c>
      <c r="D36" s="3194" t="s">
        <v>533</v>
      </c>
      <c r="E36" s="3233">
        <v>8</v>
      </c>
      <c r="F36" s="1098" t="s">
        <v>529</v>
      </c>
      <c r="G36" s="1099" t="s">
        <v>534</v>
      </c>
      <c r="H36" s="1100" t="s">
        <v>33</v>
      </c>
      <c r="I36" s="1093">
        <f>SUM(J36,L36)</f>
        <v>5.3</v>
      </c>
      <c r="J36" s="130">
        <v>5.3</v>
      </c>
      <c r="K36" s="130">
        <v>4.8</v>
      </c>
      <c r="L36" s="151">
        <v>0</v>
      </c>
      <c r="M36" s="1071">
        <f>SUM(N36,P36)</f>
        <v>6</v>
      </c>
      <c r="N36" s="130">
        <v>6</v>
      </c>
      <c r="O36" s="130">
        <v>5.5</v>
      </c>
      <c r="P36" s="151"/>
      <c r="Q36" s="1071">
        <v>6</v>
      </c>
      <c r="R36" s="130">
        <v>6</v>
      </c>
      <c r="S36" s="130">
        <v>5.5</v>
      </c>
      <c r="T36" s="151"/>
      <c r="U36" s="1071">
        <f>SUM(V36,X36)</f>
        <v>6</v>
      </c>
      <c r="V36" s="130">
        <v>6</v>
      </c>
      <c r="W36" s="130">
        <v>5.5</v>
      </c>
      <c r="X36" s="151"/>
      <c r="Y36" s="1219"/>
    </row>
    <row r="37" spans="1:32" ht="18" customHeight="1" thickBot="1" x14ac:dyDescent="0.25">
      <c r="A37" s="3192"/>
      <c r="B37" s="3199"/>
      <c r="C37" s="3202"/>
      <c r="D37" s="3264"/>
      <c r="E37" s="3234"/>
      <c r="F37" s="3173" t="s">
        <v>35</v>
      </c>
      <c r="G37" s="3173"/>
      <c r="H37" s="3174"/>
      <c r="I37" s="1074">
        <f>SUM(J37,L37)</f>
        <v>5.3</v>
      </c>
      <c r="J37" s="1075">
        <f>SUM(J36:J36)</f>
        <v>5.3</v>
      </c>
      <c r="K37" s="1075">
        <f>SUM(K36:K36)</f>
        <v>4.8</v>
      </c>
      <c r="L37" s="1078">
        <f>SUM(L36:L36)</f>
        <v>0</v>
      </c>
      <c r="M37" s="1074">
        <f>SUM(N37,P37)</f>
        <v>6</v>
      </c>
      <c r="N37" s="1075">
        <f>SUM(N36:N36)</f>
        <v>6</v>
      </c>
      <c r="O37" s="1075">
        <f>SUM(O36:O36)</f>
        <v>5.5</v>
      </c>
      <c r="P37" s="1076">
        <f>SUM(P36:P36)</f>
        <v>0</v>
      </c>
      <c r="Q37" s="1074">
        <f>SUM(R37,T37)</f>
        <v>6</v>
      </c>
      <c r="R37" s="1075">
        <f>SUM(R36:R36)</f>
        <v>6</v>
      </c>
      <c r="S37" s="1075">
        <f>SUM(S36:S36)</f>
        <v>5.5</v>
      </c>
      <c r="T37" s="1076">
        <f>SUM(T36:T36)</f>
        <v>0</v>
      </c>
      <c r="U37" s="1074">
        <f>SUM(V37,X37)</f>
        <v>6</v>
      </c>
      <c r="V37" s="1075">
        <f>SUM(V36:V36)</f>
        <v>6</v>
      </c>
      <c r="W37" s="1075">
        <f>SUM(W36:W36)</f>
        <v>5.5</v>
      </c>
      <c r="X37" s="1076">
        <f>SUM(X36:X36)</f>
        <v>0</v>
      </c>
      <c r="Y37" s="1219"/>
    </row>
    <row r="38" spans="1:32" ht="13.5" customHeight="1" thickBot="1" x14ac:dyDescent="0.25">
      <c r="A38" s="2431">
        <v>1</v>
      </c>
      <c r="B38" s="1090">
        <v>2</v>
      </c>
      <c r="C38" s="3180" t="s">
        <v>234</v>
      </c>
      <c r="D38" s="3181"/>
      <c r="E38" s="3181"/>
      <c r="F38" s="3181"/>
      <c r="G38" s="3181"/>
      <c r="H38" s="3182"/>
      <c r="I38" s="1091">
        <f t="shared" ref="I38" si="23">SUM(J38,L38)</f>
        <v>55.399999999999991</v>
      </c>
      <c r="J38" s="1092">
        <f>J32+J35+J37</f>
        <v>55.399999999999991</v>
      </c>
      <c r="K38" s="1092">
        <f t="shared" ref="K38:L38" si="24">K32+K35+K37</f>
        <v>4.8</v>
      </c>
      <c r="L38" s="1092">
        <f t="shared" si="24"/>
        <v>0</v>
      </c>
      <c r="M38" s="1091">
        <f t="shared" ref="M38" si="25">SUM(N38,P38)</f>
        <v>47</v>
      </c>
      <c r="N38" s="1092">
        <f>N32+N35+N37</f>
        <v>47</v>
      </c>
      <c r="O38" s="1092">
        <f t="shared" ref="O38:P38" si="26">O32+O35+O37</f>
        <v>5.5</v>
      </c>
      <c r="P38" s="1092">
        <f t="shared" si="26"/>
        <v>0</v>
      </c>
      <c r="Q38" s="1091">
        <f t="shared" ref="Q38" si="27">SUM(R38,T38)</f>
        <v>47</v>
      </c>
      <c r="R38" s="1092">
        <f>R32+R35+R37</f>
        <v>47</v>
      </c>
      <c r="S38" s="1092">
        <f t="shared" ref="S38:T38" si="28">S32+S35+S37</f>
        <v>5.5</v>
      </c>
      <c r="T38" s="1092">
        <f t="shared" si="28"/>
        <v>0</v>
      </c>
      <c r="U38" s="1091">
        <f t="shared" ref="U38" si="29">SUM(V38,X38)</f>
        <v>47</v>
      </c>
      <c r="V38" s="1092">
        <f>V32+V35+V37</f>
        <v>47</v>
      </c>
      <c r="W38" s="1092">
        <f t="shared" ref="W38:X38" si="30">W32+W35+W37</f>
        <v>5.5</v>
      </c>
      <c r="X38" s="2290">
        <f t="shared" si="30"/>
        <v>0</v>
      </c>
      <c r="Y38" s="1219"/>
    </row>
    <row r="39" spans="1:32" ht="13.5" thickBot="1" x14ac:dyDescent="0.25">
      <c r="A39" s="1101">
        <v>1</v>
      </c>
      <c r="B39" s="3250" t="s">
        <v>167</v>
      </c>
      <c r="C39" s="3251"/>
      <c r="D39" s="3251"/>
      <c r="E39" s="3251"/>
      <c r="F39" s="3251"/>
      <c r="G39" s="3251"/>
      <c r="H39" s="3252"/>
      <c r="I39" s="1102">
        <f t="shared" ref="I39" si="31">J39+L39</f>
        <v>18241.5</v>
      </c>
      <c r="J39" s="1103">
        <f>J38+J29</f>
        <v>18241.5</v>
      </c>
      <c r="K39" s="1103">
        <f t="shared" ref="K39:L39" si="32">K38+K29</f>
        <v>4.8</v>
      </c>
      <c r="L39" s="1103">
        <f t="shared" si="32"/>
        <v>0</v>
      </c>
      <c r="M39" s="1104">
        <f t="shared" ref="M39" si="33">N39+P39</f>
        <v>19248.8</v>
      </c>
      <c r="N39" s="1103">
        <f>N38+N29</f>
        <v>19248.8</v>
      </c>
      <c r="O39" s="1103">
        <f t="shared" ref="O39:P39" si="34">O38+O29</f>
        <v>5.5</v>
      </c>
      <c r="P39" s="1103">
        <f t="shared" si="34"/>
        <v>0</v>
      </c>
      <c r="Q39" s="1104">
        <f t="shared" ref="Q39" si="35">R39+T39</f>
        <v>19721.5</v>
      </c>
      <c r="R39" s="1103">
        <f>R38+R29</f>
        <v>19721.5</v>
      </c>
      <c r="S39" s="1103">
        <f t="shared" ref="S39:T39" si="36">S38+S29</f>
        <v>5.5</v>
      </c>
      <c r="T39" s="1103">
        <f t="shared" si="36"/>
        <v>0</v>
      </c>
      <c r="U39" s="1104">
        <f t="shared" ref="U39" si="37">V39+X39</f>
        <v>19721.5</v>
      </c>
      <c r="V39" s="1103">
        <f>V38+V29</f>
        <v>19721.5</v>
      </c>
      <c r="W39" s="1103">
        <f t="shared" ref="W39:X39" si="38">W38+W29</f>
        <v>5.5</v>
      </c>
      <c r="X39" s="2291">
        <f t="shared" si="38"/>
        <v>0</v>
      </c>
      <c r="Y39" s="1219"/>
    </row>
    <row r="40" spans="1:32" ht="13.5" customHeight="1" thickBot="1" x14ac:dyDescent="0.25">
      <c r="A40" s="2428">
        <v>2</v>
      </c>
      <c r="B40" s="3253" t="s">
        <v>535</v>
      </c>
      <c r="C40" s="3254"/>
      <c r="D40" s="3254"/>
      <c r="E40" s="3254"/>
      <c r="F40" s="3254"/>
      <c r="G40" s="3254"/>
      <c r="H40" s="3254"/>
      <c r="I40" s="3254"/>
      <c r="J40" s="3254"/>
      <c r="K40" s="3254"/>
      <c r="L40" s="3254"/>
      <c r="M40" s="3254"/>
      <c r="N40" s="3254"/>
      <c r="O40" s="3254"/>
      <c r="P40" s="3254"/>
      <c r="Q40" s="3254"/>
      <c r="R40" s="3254"/>
      <c r="S40" s="3254"/>
      <c r="T40" s="3254"/>
      <c r="U40" s="3254"/>
      <c r="V40" s="3254"/>
      <c r="W40" s="3254"/>
      <c r="X40" s="3255"/>
      <c r="Y40" s="1219"/>
    </row>
    <row r="41" spans="1:32" ht="13.5" customHeight="1" thickBot="1" x14ac:dyDescent="0.25">
      <c r="A41" s="2420">
        <v>2</v>
      </c>
      <c r="B41" s="1105">
        <v>1</v>
      </c>
      <c r="C41" s="3256" t="s">
        <v>536</v>
      </c>
      <c r="D41" s="3257"/>
      <c r="E41" s="3257"/>
      <c r="F41" s="3257"/>
      <c r="G41" s="3257"/>
      <c r="H41" s="3257"/>
      <c r="I41" s="3257"/>
      <c r="J41" s="3257"/>
      <c r="K41" s="3257"/>
      <c r="L41" s="3257"/>
      <c r="M41" s="3257"/>
      <c r="N41" s="3257"/>
      <c r="O41" s="3257"/>
      <c r="P41" s="3257"/>
      <c r="Q41" s="3257"/>
      <c r="R41" s="3257"/>
      <c r="S41" s="3257"/>
      <c r="T41" s="3257"/>
      <c r="U41" s="3257"/>
      <c r="V41" s="3257"/>
      <c r="W41" s="3257"/>
      <c r="X41" s="3258"/>
      <c r="Y41" s="1219"/>
    </row>
    <row r="42" spans="1:32" ht="37.5" hidden="1" customHeight="1" thickBot="1" x14ac:dyDescent="0.25">
      <c r="A42" s="3196">
        <v>2</v>
      </c>
      <c r="B42" s="3198">
        <v>1</v>
      </c>
      <c r="C42" s="3130">
        <v>1</v>
      </c>
      <c r="D42" s="3259" t="s">
        <v>537</v>
      </c>
      <c r="E42" s="3260" t="s">
        <v>538</v>
      </c>
      <c r="F42" s="3213" t="s">
        <v>529</v>
      </c>
      <c r="G42" s="3130" t="s">
        <v>539</v>
      </c>
      <c r="H42" s="2422" t="s">
        <v>30</v>
      </c>
      <c r="I42" s="1070">
        <f>SUM(J42,L42)</f>
        <v>0</v>
      </c>
      <c r="J42" s="129"/>
      <c r="K42" s="129"/>
      <c r="L42" s="133"/>
      <c r="M42" s="1070">
        <f>SUM(N42,P42)</f>
        <v>0</v>
      </c>
      <c r="N42" s="129"/>
      <c r="O42" s="129"/>
      <c r="P42" s="133">
        <v>0</v>
      </c>
      <c r="Q42" s="1070">
        <f>SUM(R42,T42)</f>
        <v>0</v>
      </c>
      <c r="R42" s="129"/>
      <c r="S42" s="129"/>
      <c r="T42" s="133">
        <v>0</v>
      </c>
      <c r="U42" s="1070">
        <f>SUM(V42,X42)</f>
        <v>0</v>
      </c>
      <c r="V42" s="129"/>
      <c r="W42" s="129"/>
      <c r="X42" s="133">
        <v>0</v>
      </c>
      <c r="Y42" s="1219"/>
    </row>
    <row r="43" spans="1:32" ht="31.5" hidden="1" customHeight="1" x14ac:dyDescent="0.2">
      <c r="A43" s="3192"/>
      <c r="B43" s="3193"/>
      <c r="C43" s="3132"/>
      <c r="D43" s="3194"/>
      <c r="E43" s="3240"/>
      <c r="F43" s="3214"/>
      <c r="G43" s="3132"/>
      <c r="H43" s="2430" t="s">
        <v>34</v>
      </c>
      <c r="I43" s="1082">
        <f t="shared" ref="I43" si="39">SUM(J43,L43)</f>
        <v>0</v>
      </c>
      <c r="J43" s="131"/>
      <c r="K43" s="131"/>
      <c r="L43" s="137"/>
      <c r="M43" s="1082">
        <f t="shared" ref="M43" si="40">SUM(N43,P43)</f>
        <v>0</v>
      </c>
      <c r="N43" s="131"/>
      <c r="O43" s="131"/>
      <c r="P43" s="137">
        <v>0</v>
      </c>
      <c r="Q43" s="1082">
        <f t="shared" ref="Q43" si="41">SUM(R43,T43)</f>
        <v>0</v>
      </c>
      <c r="R43" s="131"/>
      <c r="S43" s="131"/>
      <c r="T43" s="137">
        <v>0</v>
      </c>
      <c r="U43" s="1082">
        <f t="shared" ref="U43" si="42">SUM(V43,X43)</f>
        <v>0</v>
      </c>
      <c r="V43" s="131"/>
      <c r="W43" s="131"/>
      <c r="X43" s="137">
        <v>0</v>
      </c>
      <c r="Y43" s="1219"/>
    </row>
    <row r="44" spans="1:32" ht="41.25" hidden="1" customHeight="1" x14ac:dyDescent="0.2">
      <c r="A44" s="3192"/>
      <c r="B44" s="3193"/>
      <c r="C44" s="3132"/>
      <c r="D44" s="3194"/>
      <c r="E44" s="3240"/>
      <c r="F44" s="3214"/>
      <c r="G44" s="3132"/>
      <c r="H44" s="375" t="s">
        <v>540</v>
      </c>
      <c r="I44" s="2407"/>
      <c r="J44" s="2404"/>
      <c r="K44" s="2404"/>
      <c r="L44" s="2404"/>
      <c r="M44" s="2407"/>
      <c r="N44" s="2404"/>
      <c r="O44" s="2404"/>
      <c r="P44" s="2404"/>
      <c r="Q44" s="2408"/>
      <c r="R44" s="1106"/>
      <c r="S44" s="1106"/>
      <c r="T44" s="1107"/>
      <c r="U44" s="2408"/>
      <c r="V44" s="1106"/>
      <c r="W44" s="1106"/>
      <c r="X44" s="1107"/>
      <c r="Y44" s="1219"/>
    </row>
    <row r="45" spans="1:32" ht="24.4" customHeight="1" x14ac:dyDescent="0.2">
      <c r="A45" s="3192"/>
      <c r="B45" s="3193"/>
      <c r="C45" s="3132"/>
      <c r="D45" s="3194"/>
      <c r="E45" s="3240"/>
      <c r="F45" s="3130" t="s">
        <v>529</v>
      </c>
      <c r="G45" s="3130" t="s">
        <v>539</v>
      </c>
      <c r="H45" s="375" t="s">
        <v>30</v>
      </c>
      <c r="I45" s="1070">
        <f>J45+L45</f>
        <v>610.4</v>
      </c>
      <c r="J45" s="2404">
        <v>609.29999999999995</v>
      </c>
      <c r="K45" s="2404">
        <v>529.29999999999995</v>
      </c>
      <c r="L45" s="1108">
        <v>1.1000000000000001</v>
      </c>
      <c r="M45" s="1070">
        <v>697.9</v>
      </c>
      <c r="N45" s="2404">
        <v>697.9</v>
      </c>
      <c r="O45" s="2404">
        <v>629.4</v>
      </c>
      <c r="P45" s="499"/>
      <c r="Q45" s="1070">
        <v>753.3</v>
      </c>
      <c r="R45" s="2404">
        <v>753.3</v>
      </c>
      <c r="S45" s="2404">
        <v>684.8</v>
      </c>
      <c r="T45" s="2381"/>
      <c r="U45" s="1070">
        <v>753.3</v>
      </c>
      <c r="V45" s="2404">
        <v>753.3</v>
      </c>
      <c r="W45" s="2404">
        <v>684.8</v>
      </c>
      <c r="X45" s="2381"/>
      <c r="Y45" s="1219"/>
      <c r="Z45" s="2435"/>
      <c r="AC45" s="540"/>
      <c r="AD45" s="343"/>
      <c r="AE45" s="343"/>
      <c r="AF45" s="343"/>
    </row>
    <row r="46" spans="1:32" ht="24.4" customHeight="1" x14ac:dyDescent="0.2">
      <c r="A46" s="3192"/>
      <c r="B46" s="3193"/>
      <c r="C46" s="3132"/>
      <c r="D46" s="3194"/>
      <c r="E46" s="3240"/>
      <c r="F46" s="3132"/>
      <c r="G46" s="3132"/>
      <c r="H46" s="375" t="s">
        <v>202</v>
      </c>
      <c r="I46" s="1071">
        <f>J46+L46</f>
        <v>0</v>
      </c>
      <c r="J46" s="2404">
        <v>0</v>
      </c>
      <c r="K46" s="2404">
        <v>0</v>
      </c>
      <c r="L46" s="1108"/>
      <c r="M46" s="1071">
        <v>94.1</v>
      </c>
      <c r="N46" s="2404">
        <v>94.1</v>
      </c>
      <c r="O46" s="2404">
        <v>92.8</v>
      </c>
      <c r="P46" s="499"/>
      <c r="Q46" s="1071">
        <v>94.1</v>
      </c>
      <c r="R46" s="408">
        <v>94.1</v>
      </c>
      <c r="S46" s="2404">
        <v>92.8</v>
      </c>
      <c r="T46" s="356"/>
      <c r="U46" s="1071">
        <v>94.1</v>
      </c>
      <c r="V46" s="408">
        <v>94.1</v>
      </c>
      <c r="W46" s="2404">
        <v>92.8</v>
      </c>
      <c r="X46" s="356"/>
      <c r="Y46" s="1219"/>
      <c r="Z46" s="2435"/>
      <c r="AC46" s="540"/>
      <c r="AD46" s="343"/>
      <c r="AE46" s="343"/>
      <c r="AF46" s="343"/>
    </row>
    <row r="47" spans="1:32" ht="21" customHeight="1" x14ac:dyDescent="0.2">
      <c r="A47" s="3192"/>
      <c r="B47" s="3193"/>
      <c r="C47" s="3132"/>
      <c r="D47" s="3194"/>
      <c r="E47" s="3240"/>
      <c r="F47" s="3132"/>
      <c r="G47" s="3132"/>
      <c r="H47" s="375" t="s">
        <v>33</v>
      </c>
      <c r="I47" s="1071">
        <f>J47+L47</f>
        <v>15.299999999999997</v>
      </c>
      <c r="J47" s="2404">
        <f>24.7-0.1-9.3</f>
        <v>15.299999999999997</v>
      </c>
      <c r="K47" s="2404">
        <f>24.3-9.3</f>
        <v>15</v>
      </c>
      <c r="L47" s="1108"/>
      <c r="M47" s="1071">
        <v>4.5</v>
      </c>
      <c r="N47" s="2404">
        <v>4.5</v>
      </c>
      <c r="O47" s="2404">
        <v>4.5</v>
      </c>
      <c r="P47" s="499"/>
      <c r="Q47" s="1071">
        <v>4.5</v>
      </c>
      <c r="R47" s="408">
        <v>4.5</v>
      </c>
      <c r="S47" s="2404">
        <v>4.5</v>
      </c>
      <c r="T47" s="356"/>
      <c r="U47" s="1071">
        <v>4.5</v>
      </c>
      <c r="V47" s="408">
        <v>4.5</v>
      </c>
      <c r="W47" s="2404">
        <v>4.5</v>
      </c>
      <c r="X47" s="356"/>
      <c r="Y47" s="1219"/>
      <c r="Z47" s="2435"/>
      <c r="AC47" s="540"/>
      <c r="AD47" s="343"/>
      <c r="AE47" s="343"/>
      <c r="AF47" s="343"/>
    </row>
    <row r="48" spans="1:32" ht="24.75" customHeight="1" thickBot="1" x14ac:dyDescent="0.25">
      <c r="A48" s="3192"/>
      <c r="B48" s="3193"/>
      <c r="C48" s="3132"/>
      <c r="D48" s="3194"/>
      <c r="E48" s="3240"/>
      <c r="F48" s="3131"/>
      <c r="G48" s="3131"/>
      <c r="H48" s="375" t="s">
        <v>34</v>
      </c>
      <c r="I48" s="1071">
        <f>SUM(J48,L48)</f>
        <v>21</v>
      </c>
      <c r="J48" s="2404">
        <v>21</v>
      </c>
      <c r="K48" s="2404">
        <v>12.1</v>
      </c>
      <c r="L48" s="414"/>
      <c r="M48" s="1071">
        <v>21.1</v>
      </c>
      <c r="N48" s="2404">
        <v>21.1</v>
      </c>
      <c r="O48" s="2404">
        <v>13.9</v>
      </c>
      <c r="P48" s="2404"/>
      <c r="Q48" s="1071">
        <v>21.1</v>
      </c>
      <c r="R48" s="408">
        <v>21.1</v>
      </c>
      <c r="S48" s="2404">
        <v>13.9</v>
      </c>
      <c r="T48" s="417"/>
      <c r="U48" s="1071">
        <v>21.1</v>
      </c>
      <c r="V48" s="408">
        <v>21.1</v>
      </c>
      <c r="W48" s="2404">
        <v>13.9</v>
      </c>
      <c r="X48" s="417"/>
      <c r="Y48" s="1219"/>
      <c r="Z48" s="2435"/>
      <c r="AC48" s="540"/>
      <c r="AD48" s="343"/>
      <c r="AE48" s="1109"/>
      <c r="AF48" s="1109"/>
    </row>
    <row r="49" spans="1:32" ht="17.25" customHeight="1" thickBot="1" x14ac:dyDescent="0.25">
      <c r="A49" s="3197"/>
      <c r="B49" s="3199"/>
      <c r="C49" s="3200"/>
      <c r="D49" s="3219"/>
      <c r="E49" s="3241"/>
      <c r="F49" s="3177" t="s">
        <v>35</v>
      </c>
      <c r="G49" s="3178"/>
      <c r="H49" s="3179"/>
      <c r="I49" s="1074">
        <f>SUM(J49,L49)</f>
        <v>646.69999999999993</v>
      </c>
      <c r="J49" s="1075">
        <f>SUM(J42:J48)</f>
        <v>645.59999999999991</v>
      </c>
      <c r="K49" s="1075">
        <f>SUM(K42:K48)</f>
        <v>556.4</v>
      </c>
      <c r="L49" s="1075">
        <f>SUM(L42:L48)</f>
        <v>1.1000000000000001</v>
      </c>
      <c r="M49" s="1074">
        <f>SUM(N49,P49)</f>
        <v>817.6</v>
      </c>
      <c r="N49" s="1075">
        <f>SUM(N45:N48)</f>
        <v>817.6</v>
      </c>
      <c r="O49" s="1075">
        <f>SUM(O45:O48)</f>
        <v>740.59999999999991</v>
      </c>
      <c r="P49" s="1075">
        <f>SUM(P45:P48)</f>
        <v>0</v>
      </c>
      <c r="Q49" s="1074">
        <f>SUM(R49,T49)</f>
        <v>873</v>
      </c>
      <c r="R49" s="1075">
        <f>SUM(R45:R48)</f>
        <v>873</v>
      </c>
      <c r="S49" s="1075">
        <f>SUM(S45:S48)</f>
        <v>795.99999999999989</v>
      </c>
      <c r="T49" s="1076">
        <f>SUM(T42:T48)</f>
        <v>0</v>
      </c>
      <c r="U49" s="1074">
        <f>SUM(V49,X49)</f>
        <v>873</v>
      </c>
      <c r="V49" s="1075">
        <f>SUM(V45:V48)</f>
        <v>873</v>
      </c>
      <c r="W49" s="1075">
        <f>SUM(W45:W48)</f>
        <v>795.99999999999989</v>
      </c>
      <c r="X49" s="1076">
        <f>SUM(X42:X48)</f>
        <v>0</v>
      </c>
      <c r="Y49" s="1219"/>
      <c r="Z49" s="2435"/>
    </row>
    <row r="50" spans="1:32" ht="23.25" customHeight="1" x14ac:dyDescent="0.2">
      <c r="A50" s="3192">
        <v>2</v>
      </c>
      <c r="B50" s="3193">
        <v>1</v>
      </c>
      <c r="C50" s="3132">
        <v>2</v>
      </c>
      <c r="D50" s="3194" t="s">
        <v>541</v>
      </c>
      <c r="E50" s="3246" t="s">
        <v>542</v>
      </c>
      <c r="F50" s="3213" t="s">
        <v>529</v>
      </c>
      <c r="G50" s="3130" t="s">
        <v>543</v>
      </c>
      <c r="H50" s="2422" t="s">
        <v>30</v>
      </c>
      <c r="I50" s="1070">
        <v>612.79999999999995</v>
      </c>
      <c r="J50" s="129">
        <v>608.6</v>
      </c>
      <c r="K50" s="129">
        <v>507.9</v>
      </c>
      <c r="L50" s="133">
        <v>4.2</v>
      </c>
      <c r="M50" s="1070">
        <v>726</v>
      </c>
      <c r="N50" s="129">
        <v>726</v>
      </c>
      <c r="O50" s="129">
        <v>632.1</v>
      </c>
      <c r="P50" s="133"/>
      <c r="Q50" s="1070">
        <v>789</v>
      </c>
      <c r="R50" s="129">
        <v>789</v>
      </c>
      <c r="S50" s="129">
        <v>695.1</v>
      </c>
      <c r="T50" s="133"/>
      <c r="U50" s="1070">
        <v>789</v>
      </c>
      <c r="V50" s="129">
        <v>789</v>
      </c>
      <c r="W50" s="129">
        <v>695.1</v>
      </c>
      <c r="X50" s="133"/>
      <c r="Y50" s="1219"/>
      <c r="Z50" s="2435"/>
      <c r="AC50" s="540"/>
      <c r="AD50" s="134"/>
      <c r="AE50" s="134"/>
      <c r="AF50" s="540"/>
    </row>
    <row r="51" spans="1:32" ht="23.25" customHeight="1" x14ac:dyDescent="0.2">
      <c r="A51" s="3192"/>
      <c r="B51" s="3193"/>
      <c r="C51" s="3132"/>
      <c r="D51" s="3194"/>
      <c r="E51" s="3246"/>
      <c r="F51" s="3214"/>
      <c r="G51" s="3132"/>
      <c r="H51" s="2430" t="s">
        <v>202</v>
      </c>
      <c r="I51" s="1071">
        <v>0</v>
      </c>
      <c r="J51" s="130">
        <v>0</v>
      </c>
      <c r="K51" s="130">
        <v>0</v>
      </c>
      <c r="L51" s="151"/>
      <c r="M51" s="1071">
        <v>83.3</v>
      </c>
      <c r="N51" s="130">
        <v>83.3</v>
      </c>
      <c r="O51" s="130">
        <v>81.8</v>
      </c>
      <c r="P51" s="151"/>
      <c r="Q51" s="1071">
        <v>83.3</v>
      </c>
      <c r="R51" s="130">
        <v>83.3</v>
      </c>
      <c r="S51" s="130">
        <v>81.8</v>
      </c>
      <c r="T51" s="151"/>
      <c r="U51" s="1071">
        <v>83.3</v>
      </c>
      <c r="V51" s="130">
        <v>83.3</v>
      </c>
      <c r="W51" s="130">
        <v>81.8</v>
      </c>
      <c r="X51" s="151"/>
      <c r="Y51" s="1219"/>
      <c r="Z51" s="2435"/>
      <c r="AC51" s="540"/>
      <c r="AD51" s="134"/>
      <c r="AE51" s="134"/>
      <c r="AF51" s="540"/>
    </row>
    <row r="52" spans="1:32" ht="23.25" hidden="1" customHeight="1" x14ac:dyDescent="0.2">
      <c r="A52" s="3192"/>
      <c r="B52" s="3193"/>
      <c r="C52" s="3132"/>
      <c r="D52" s="3194"/>
      <c r="E52" s="3246"/>
      <c r="F52" s="3214"/>
      <c r="G52" s="3132"/>
      <c r="H52" s="2430" t="s">
        <v>33</v>
      </c>
      <c r="I52" s="1071"/>
      <c r="J52" s="130"/>
      <c r="K52" s="130"/>
      <c r="L52" s="151"/>
      <c r="M52" s="1071"/>
      <c r="N52" s="130"/>
      <c r="O52" s="130"/>
      <c r="P52" s="151"/>
      <c r="Q52" s="1071"/>
      <c r="R52" s="130"/>
      <c r="S52" s="130"/>
      <c r="T52" s="151"/>
      <c r="U52" s="1071"/>
      <c r="V52" s="130"/>
      <c r="W52" s="130"/>
      <c r="X52" s="151"/>
      <c r="Y52" s="1219"/>
      <c r="Z52" s="2435"/>
      <c r="AC52" s="540"/>
      <c r="AD52" s="134"/>
      <c r="AE52" s="134"/>
      <c r="AF52" s="540"/>
    </row>
    <row r="53" spans="1:32" ht="23.25" customHeight="1" x14ac:dyDescent="0.2">
      <c r="A53" s="3192"/>
      <c r="B53" s="3193"/>
      <c r="C53" s="3132"/>
      <c r="D53" s="3194"/>
      <c r="E53" s="3246"/>
      <c r="F53" s="3214"/>
      <c r="G53" s="3132"/>
      <c r="H53" s="2430" t="s">
        <v>33</v>
      </c>
      <c r="I53" s="1071">
        <f>J53+L53</f>
        <v>20.9</v>
      </c>
      <c r="J53" s="130">
        <f>15.2-10.6+16.3</f>
        <v>20.9</v>
      </c>
      <c r="K53" s="130">
        <f>15.2-10.6+16.1</f>
        <v>20.700000000000003</v>
      </c>
      <c r="L53" s="151"/>
      <c r="M53" s="1071">
        <v>3</v>
      </c>
      <c r="N53" s="130">
        <v>3</v>
      </c>
      <c r="O53" s="130">
        <v>3</v>
      </c>
      <c r="P53" s="151"/>
      <c r="Q53" s="1071">
        <v>3</v>
      </c>
      <c r="R53" s="130">
        <v>3</v>
      </c>
      <c r="S53" s="130">
        <v>3</v>
      </c>
      <c r="T53" s="151"/>
      <c r="U53" s="1071">
        <v>3</v>
      </c>
      <c r="V53" s="130">
        <v>3</v>
      </c>
      <c r="W53" s="130">
        <v>3</v>
      </c>
      <c r="X53" s="151"/>
      <c r="Y53" s="1219"/>
      <c r="Z53" s="2435"/>
      <c r="AC53" s="540"/>
      <c r="AD53" s="134"/>
      <c r="AE53" s="134"/>
      <c r="AF53" s="540"/>
    </row>
    <row r="54" spans="1:32" ht="23.25" customHeight="1" thickBot="1" x14ac:dyDescent="0.25">
      <c r="A54" s="3192"/>
      <c r="B54" s="3193"/>
      <c r="C54" s="3132"/>
      <c r="D54" s="3194"/>
      <c r="E54" s="3246"/>
      <c r="F54" s="3214"/>
      <c r="G54" s="3132"/>
      <c r="H54" s="2430" t="s">
        <v>34</v>
      </c>
      <c r="I54" s="1071">
        <v>35.299999999999997</v>
      </c>
      <c r="J54" s="131">
        <v>35.299999999999997</v>
      </c>
      <c r="K54" s="131">
        <f>13+6.7</f>
        <v>19.7</v>
      </c>
      <c r="L54" s="137"/>
      <c r="M54" s="1071">
        <v>30</v>
      </c>
      <c r="N54" s="130">
        <v>30</v>
      </c>
      <c r="O54" s="131">
        <v>17.100000000000001</v>
      </c>
      <c r="P54" s="137"/>
      <c r="Q54" s="1071">
        <f>R54+T54</f>
        <v>25.2</v>
      </c>
      <c r="R54" s="130">
        <v>25.2</v>
      </c>
      <c r="S54" s="131">
        <v>10</v>
      </c>
      <c r="T54" s="137"/>
      <c r="U54" s="1071">
        <v>30</v>
      </c>
      <c r="V54" s="130">
        <v>30</v>
      </c>
      <c r="W54" s="131">
        <v>17.100000000000001</v>
      </c>
      <c r="X54" s="137"/>
      <c r="Y54" s="1219"/>
      <c r="Z54" s="2435"/>
      <c r="AC54" s="540"/>
      <c r="AD54" s="134"/>
    </row>
    <row r="55" spans="1:32" ht="30" customHeight="1" thickBot="1" x14ac:dyDescent="0.25">
      <c r="A55" s="3197"/>
      <c r="B55" s="3199"/>
      <c r="C55" s="3200"/>
      <c r="D55" s="3219"/>
      <c r="E55" s="3247"/>
      <c r="F55" s="3177" t="s">
        <v>35</v>
      </c>
      <c r="G55" s="3178"/>
      <c r="H55" s="3179"/>
      <c r="I55" s="1074">
        <f>SUM(J55,L55)</f>
        <v>669</v>
      </c>
      <c r="J55" s="1075">
        <f>SUM(J50:J54)</f>
        <v>664.8</v>
      </c>
      <c r="K55" s="1075">
        <f>SUM(K50:K54)</f>
        <v>548.30000000000007</v>
      </c>
      <c r="L55" s="1075">
        <f>SUM(L50:L54)</f>
        <v>4.2</v>
      </c>
      <c r="M55" s="1074">
        <f>SUM(N55,P55)</f>
        <v>842.3</v>
      </c>
      <c r="N55" s="1075">
        <f>SUM(N50:N54)</f>
        <v>842.3</v>
      </c>
      <c r="O55" s="1075">
        <f>SUM(O50:O54)</f>
        <v>734</v>
      </c>
      <c r="P55" s="1076">
        <f>SUM(P50:P54)</f>
        <v>0</v>
      </c>
      <c r="Q55" s="1097">
        <f>SUM(R55,T55)</f>
        <v>900.5</v>
      </c>
      <c r="R55" s="1075">
        <f>SUM(R50:R54)</f>
        <v>900.5</v>
      </c>
      <c r="S55" s="1075">
        <f>SUM(S50:S54)</f>
        <v>789.9</v>
      </c>
      <c r="T55" s="1076">
        <f>SUM(T50:T54)</f>
        <v>0</v>
      </c>
      <c r="U55" s="1097">
        <f>SUM(V55,X55)</f>
        <v>905.3</v>
      </c>
      <c r="V55" s="1075">
        <f>SUM(V50:V54)</f>
        <v>905.3</v>
      </c>
      <c r="W55" s="1075">
        <f>SUM(W50:W54)</f>
        <v>797</v>
      </c>
      <c r="X55" s="1076">
        <f>SUM(X50:X54)</f>
        <v>0</v>
      </c>
      <c r="Y55" s="1219"/>
      <c r="Z55" s="2435"/>
    </row>
    <row r="56" spans="1:32" ht="24.4" customHeight="1" x14ac:dyDescent="0.2">
      <c r="A56" s="3196">
        <v>2</v>
      </c>
      <c r="B56" s="3198">
        <v>1</v>
      </c>
      <c r="C56" s="3168">
        <v>3</v>
      </c>
      <c r="D56" s="3169" t="s">
        <v>544</v>
      </c>
      <c r="E56" s="3248" t="s">
        <v>545</v>
      </c>
      <c r="F56" s="3214" t="s">
        <v>529</v>
      </c>
      <c r="G56" s="3130" t="s">
        <v>546</v>
      </c>
      <c r="H56" s="2427" t="s">
        <v>30</v>
      </c>
      <c r="I56" s="1082">
        <f t="shared" ref="I56:I57" si="43">SUM(L56,J56)</f>
        <v>571</v>
      </c>
      <c r="J56" s="129">
        <v>571</v>
      </c>
      <c r="K56" s="129">
        <v>252.9</v>
      </c>
      <c r="L56" s="132">
        <v>0</v>
      </c>
      <c r="M56" s="1070">
        <v>704.7</v>
      </c>
      <c r="N56" s="129">
        <v>704.7</v>
      </c>
      <c r="O56" s="129">
        <v>646.6</v>
      </c>
      <c r="P56" s="132">
        <v>0</v>
      </c>
      <c r="Q56" s="1070">
        <v>766.1</v>
      </c>
      <c r="R56" s="129">
        <v>766.1</v>
      </c>
      <c r="S56" s="129">
        <v>708</v>
      </c>
      <c r="T56" s="133">
        <v>0</v>
      </c>
      <c r="U56" s="1070">
        <v>766.1</v>
      </c>
      <c r="V56" s="129">
        <v>766.1</v>
      </c>
      <c r="W56" s="129">
        <v>708</v>
      </c>
      <c r="X56" s="133">
        <v>0</v>
      </c>
      <c r="Y56" s="1219"/>
      <c r="Z56" s="2435"/>
      <c r="AC56" s="134"/>
      <c r="AD56" s="134"/>
      <c r="AE56" s="134"/>
      <c r="AF56" s="134"/>
    </row>
    <row r="57" spans="1:32" ht="24.4" customHeight="1" x14ac:dyDescent="0.2">
      <c r="A57" s="3192"/>
      <c r="B57" s="3193"/>
      <c r="C57" s="3132"/>
      <c r="D57" s="3194"/>
      <c r="E57" s="3246"/>
      <c r="F57" s="3231"/>
      <c r="G57" s="3132"/>
      <c r="H57" s="2430" t="s">
        <v>34</v>
      </c>
      <c r="I57" s="1082">
        <f t="shared" si="43"/>
        <v>63.5</v>
      </c>
      <c r="J57" s="135">
        <v>63.5</v>
      </c>
      <c r="K57" s="135">
        <v>59.8</v>
      </c>
      <c r="L57" s="136"/>
      <c r="M57" s="1082">
        <v>75.3</v>
      </c>
      <c r="N57" s="131">
        <v>75.3</v>
      </c>
      <c r="O57" s="131">
        <v>65.8</v>
      </c>
      <c r="P57" s="136"/>
      <c r="Q57" s="1071">
        <v>75.3</v>
      </c>
      <c r="R57" s="131">
        <v>75.3</v>
      </c>
      <c r="S57" s="131">
        <v>65.8</v>
      </c>
      <c r="T57" s="137"/>
      <c r="U57" s="1071">
        <v>75.3</v>
      </c>
      <c r="V57" s="131">
        <v>75.3</v>
      </c>
      <c r="W57" s="131">
        <v>65.8</v>
      </c>
      <c r="X57" s="137"/>
      <c r="Y57" s="1219"/>
      <c r="Z57" s="2435"/>
      <c r="AC57" s="540"/>
      <c r="AD57" s="134"/>
    </row>
    <row r="58" spans="1:32" ht="24.4" customHeight="1" x14ac:dyDescent="0.2">
      <c r="A58" s="3192"/>
      <c r="B58" s="3193"/>
      <c r="C58" s="3132"/>
      <c r="D58" s="3194"/>
      <c r="E58" s="3246"/>
      <c r="F58" s="3168" t="s">
        <v>547</v>
      </c>
      <c r="G58" s="3132"/>
      <c r="H58" s="375" t="s">
        <v>33</v>
      </c>
      <c r="I58" s="1082">
        <f>SUM(L58,J58)</f>
        <v>339.8</v>
      </c>
      <c r="J58" s="2404">
        <f>283.3+4.8+21.7+30</f>
        <v>339.8</v>
      </c>
      <c r="K58" s="2404">
        <f>277.3+4.7+21.4+29.6</f>
        <v>333</v>
      </c>
      <c r="L58" s="499"/>
      <c r="M58" s="1082">
        <v>466.7</v>
      </c>
      <c r="N58" s="2404">
        <v>466.7</v>
      </c>
      <c r="O58" s="2404">
        <v>457.1</v>
      </c>
      <c r="P58" s="2403"/>
      <c r="Q58" s="1082">
        <v>466.7</v>
      </c>
      <c r="R58" s="2404">
        <v>466.7</v>
      </c>
      <c r="S58" s="2404">
        <v>457.1</v>
      </c>
      <c r="T58" s="2381"/>
      <c r="U58" s="1082">
        <v>466.7</v>
      </c>
      <c r="V58" s="2404">
        <v>466.7</v>
      </c>
      <c r="W58" s="2404">
        <v>457.1</v>
      </c>
      <c r="X58" s="2381"/>
      <c r="Y58" s="1219"/>
      <c r="Z58" s="2435"/>
    </row>
    <row r="59" spans="1:32" ht="24.4" customHeight="1" thickBot="1" x14ac:dyDescent="0.25">
      <c r="A59" s="3192"/>
      <c r="B59" s="3193"/>
      <c r="C59" s="3132"/>
      <c r="D59" s="3194"/>
      <c r="E59" s="3246"/>
      <c r="F59" s="3131"/>
      <c r="G59" s="3131"/>
      <c r="H59" s="1110" t="s">
        <v>202</v>
      </c>
      <c r="I59" s="1082"/>
      <c r="J59" s="2404"/>
      <c r="K59" s="429"/>
      <c r="L59" s="2292"/>
      <c r="M59" s="1083">
        <v>94.6</v>
      </c>
      <c r="N59" s="429">
        <v>94.6</v>
      </c>
      <c r="O59" s="429">
        <v>93.2</v>
      </c>
      <c r="P59" s="1111"/>
      <c r="Q59" s="148">
        <v>94.6</v>
      </c>
      <c r="R59" s="429">
        <v>94.6</v>
      </c>
      <c r="S59" s="429">
        <v>93.2</v>
      </c>
      <c r="T59" s="458"/>
      <c r="U59" s="148">
        <v>94.6</v>
      </c>
      <c r="V59" s="429">
        <v>94.6</v>
      </c>
      <c r="W59" s="429">
        <v>93.2</v>
      </c>
      <c r="X59" s="458"/>
      <c r="Y59" s="1219"/>
      <c r="Z59" s="2435"/>
    </row>
    <row r="60" spans="1:32" ht="24.4" customHeight="1" thickBot="1" x14ac:dyDescent="0.25">
      <c r="A60" s="3197"/>
      <c r="B60" s="3199"/>
      <c r="C60" s="3200"/>
      <c r="D60" s="3219"/>
      <c r="E60" s="3247"/>
      <c r="F60" s="3177" t="s">
        <v>35</v>
      </c>
      <c r="G60" s="3249"/>
      <c r="H60" s="3179"/>
      <c r="I60" s="1074">
        <f>SUM(I56:I57,I58:I59)</f>
        <v>974.3</v>
      </c>
      <c r="J60" s="1075">
        <f>SUM(J56:J57,J58:J59)</f>
        <v>974.3</v>
      </c>
      <c r="K60" s="1075">
        <f t="shared" ref="K60:X60" si="44">SUM(K56:K57,K58:K59)</f>
        <v>645.70000000000005</v>
      </c>
      <c r="L60" s="1075">
        <f t="shared" si="44"/>
        <v>0</v>
      </c>
      <c r="M60" s="1074">
        <f t="shared" si="44"/>
        <v>1341.3</v>
      </c>
      <c r="N60" s="1075">
        <f t="shared" si="44"/>
        <v>1341.3</v>
      </c>
      <c r="O60" s="1075">
        <f t="shared" si="44"/>
        <v>1262.7</v>
      </c>
      <c r="P60" s="1112">
        <f t="shared" si="44"/>
        <v>0</v>
      </c>
      <c r="Q60" s="1113">
        <f t="shared" si="44"/>
        <v>1402.6999999999998</v>
      </c>
      <c r="R60" s="1075">
        <f t="shared" si="44"/>
        <v>1402.6999999999998</v>
      </c>
      <c r="S60" s="1075">
        <f t="shared" si="44"/>
        <v>1324.1000000000001</v>
      </c>
      <c r="T60" s="1076">
        <f t="shared" si="44"/>
        <v>0</v>
      </c>
      <c r="U60" s="1113">
        <f t="shared" si="44"/>
        <v>1402.6999999999998</v>
      </c>
      <c r="V60" s="1075">
        <f t="shared" si="44"/>
        <v>1402.6999999999998</v>
      </c>
      <c r="W60" s="1075">
        <f t="shared" si="44"/>
        <v>1324.1000000000001</v>
      </c>
      <c r="X60" s="1076">
        <f t="shared" si="44"/>
        <v>0</v>
      </c>
      <c r="Y60" s="1219"/>
      <c r="Z60" s="2435"/>
    </row>
    <row r="61" spans="1:32" ht="24.4" customHeight="1" x14ac:dyDescent="0.2">
      <c r="A61" s="3196">
        <v>2</v>
      </c>
      <c r="B61" s="3198">
        <v>1</v>
      </c>
      <c r="C61" s="3168">
        <v>4</v>
      </c>
      <c r="D61" s="3169" t="s">
        <v>548</v>
      </c>
      <c r="E61" s="3208" t="s">
        <v>549</v>
      </c>
      <c r="F61" s="3130" t="s">
        <v>550</v>
      </c>
      <c r="G61" s="3130" t="s">
        <v>551</v>
      </c>
      <c r="H61" s="2422" t="s">
        <v>34</v>
      </c>
      <c r="I61" s="1114">
        <f>J61+L61</f>
        <v>1005</v>
      </c>
      <c r="J61" s="138">
        <v>994.1</v>
      </c>
      <c r="K61" s="138">
        <v>773</v>
      </c>
      <c r="L61" s="139">
        <v>10.9</v>
      </c>
      <c r="M61" s="1070">
        <f>N61+P61</f>
        <v>1078</v>
      </c>
      <c r="N61" s="129">
        <v>1078</v>
      </c>
      <c r="O61" s="129">
        <v>832.5</v>
      </c>
      <c r="P61" s="133">
        <v>0</v>
      </c>
      <c r="Q61" s="1070">
        <v>1078</v>
      </c>
      <c r="R61" s="129">
        <v>1078</v>
      </c>
      <c r="S61" s="129">
        <v>832.5</v>
      </c>
      <c r="T61" s="133"/>
      <c r="U61" s="1070">
        <v>1078</v>
      </c>
      <c r="V61" s="129">
        <v>1078</v>
      </c>
      <c r="W61" s="129">
        <v>832.5</v>
      </c>
      <c r="X61" s="133"/>
      <c r="Y61" s="1219"/>
      <c r="Z61" s="2435"/>
    </row>
    <row r="62" spans="1:32" ht="24.4" customHeight="1" x14ac:dyDescent="0.2">
      <c r="A62" s="3192"/>
      <c r="B62" s="3193"/>
      <c r="C62" s="3132"/>
      <c r="D62" s="3194"/>
      <c r="E62" s="3195"/>
      <c r="F62" s="3132"/>
      <c r="G62" s="3132"/>
      <c r="H62" s="2426" t="s">
        <v>33</v>
      </c>
      <c r="I62" s="1071">
        <v>269.8</v>
      </c>
      <c r="J62" s="131">
        <v>269.8</v>
      </c>
      <c r="K62" s="131">
        <v>268.2</v>
      </c>
      <c r="L62" s="140"/>
      <c r="M62" s="1071">
        <f>N62+P62</f>
        <v>294.7</v>
      </c>
      <c r="N62" s="135">
        <v>294.7</v>
      </c>
      <c r="O62" s="135">
        <v>271.2</v>
      </c>
      <c r="P62" s="137"/>
      <c r="Q62" s="1071">
        <v>276.8</v>
      </c>
      <c r="R62" s="131">
        <v>276.8</v>
      </c>
      <c r="S62" s="131">
        <v>271.2</v>
      </c>
      <c r="T62" s="137"/>
      <c r="U62" s="1071">
        <v>276.8</v>
      </c>
      <c r="V62" s="131">
        <v>276.8</v>
      </c>
      <c r="W62" s="131">
        <v>271.2</v>
      </c>
      <c r="X62" s="137"/>
      <c r="Y62" s="1219"/>
      <c r="Z62" s="2435"/>
    </row>
    <row r="63" spans="1:32" ht="24.4" customHeight="1" x14ac:dyDescent="0.2">
      <c r="A63" s="3192"/>
      <c r="B63" s="3193"/>
      <c r="C63" s="3132"/>
      <c r="D63" s="3194"/>
      <c r="E63" s="3195"/>
      <c r="F63" s="3132"/>
      <c r="G63" s="3132"/>
      <c r="H63" s="2426" t="s">
        <v>31</v>
      </c>
      <c r="I63" s="1115"/>
      <c r="J63" s="135"/>
      <c r="K63" s="135"/>
      <c r="L63" s="141">
        <v>0</v>
      </c>
      <c r="M63" s="1095"/>
      <c r="N63" s="144"/>
      <c r="O63" s="144"/>
      <c r="P63" s="143"/>
      <c r="Q63" s="1095"/>
      <c r="R63" s="131"/>
      <c r="S63" s="142"/>
      <c r="T63" s="143"/>
      <c r="U63" s="1095"/>
      <c r="V63" s="131"/>
      <c r="W63" s="142"/>
      <c r="X63" s="143"/>
      <c r="Y63" s="1219"/>
      <c r="Z63" s="2435"/>
    </row>
    <row r="64" spans="1:32" ht="24.4" customHeight="1" x14ac:dyDescent="0.2">
      <c r="A64" s="3192"/>
      <c r="B64" s="3193"/>
      <c r="C64" s="3132"/>
      <c r="D64" s="3194"/>
      <c r="E64" s="3195"/>
      <c r="F64" s="3132"/>
      <c r="G64" s="3132"/>
      <c r="H64" s="2426" t="s">
        <v>30</v>
      </c>
      <c r="I64" s="144">
        <f>J64+L64</f>
        <v>48.599999999999994</v>
      </c>
      <c r="J64" s="144">
        <v>1.3</v>
      </c>
      <c r="K64" s="144">
        <v>0</v>
      </c>
      <c r="L64" s="141">
        <v>47.3</v>
      </c>
      <c r="M64" s="142">
        <v>0</v>
      </c>
      <c r="N64" s="144">
        <v>0</v>
      </c>
      <c r="O64" s="144">
        <v>0</v>
      </c>
      <c r="P64" s="143"/>
      <c r="Q64" s="142">
        <v>0</v>
      </c>
      <c r="R64" s="131">
        <v>0</v>
      </c>
      <c r="S64" s="142">
        <v>0</v>
      </c>
      <c r="T64" s="143"/>
      <c r="U64" s="142">
        <v>0</v>
      </c>
      <c r="V64" s="131">
        <v>0</v>
      </c>
      <c r="W64" s="142">
        <v>0</v>
      </c>
      <c r="X64" s="143"/>
      <c r="Y64" s="1219"/>
      <c r="Z64" s="2435"/>
    </row>
    <row r="65" spans="1:32" ht="24.4" customHeight="1" thickBot="1" x14ac:dyDescent="0.25">
      <c r="A65" s="3192"/>
      <c r="B65" s="3193"/>
      <c r="C65" s="3132"/>
      <c r="D65" s="3194"/>
      <c r="E65" s="3195"/>
      <c r="F65" s="3132"/>
      <c r="G65" s="3132"/>
      <c r="H65" s="2426" t="s">
        <v>194</v>
      </c>
      <c r="I65" s="145">
        <v>1418.9</v>
      </c>
      <c r="J65" s="146">
        <v>1418.9</v>
      </c>
      <c r="K65" s="146">
        <v>811</v>
      </c>
      <c r="L65" s="147">
        <v>0</v>
      </c>
      <c r="M65" s="148">
        <v>1311.3</v>
      </c>
      <c r="N65" s="146">
        <v>1311.3</v>
      </c>
      <c r="O65" s="146">
        <v>801.3</v>
      </c>
      <c r="P65" s="150">
        <v>0</v>
      </c>
      <c r="Q65" s="148">
        <v>1311.3</v>
      </c>
      <c r="R65" s="149">
        <v>1311.3</v>
      </c>
      <c r="S65" s="149">
        <v>802.3</v>
      </c>
      <c r="T65" s="150">
        <v>0</v>
      </c>
      <c r="U65" s="148">
        <v>1311.3</v>
      </c>
      <c r="V65" s="149">
        <v>1311.3</v>
      </c>
      <c r="W65" s="149">
        <v>802.3</v>
      </c>
      <c r="X65" s="150">
        <v>0</v>
      </c>
      <c r="Y65" s="1219"/>
      <c r="Z65" s="2435"/>
    </row>
    <row r="66" spans="1:32" ht="20.100000000000001" customHeight="1" thickBot="1" x14ac:dyDescent="0.25">
      <c r="A66" s="3197"/>
      <c r="B66" s="3199"/>
      <c r="C66" s="3200"/>
      <c r="D66" s="3219"/>
      <c r="E66" s="3195"/>
      <c r="F66" s="3177" t="s">
        <v>35</v>
      </c>
      <c r="G66" s="3178"/>
      <c r="H66" s="3179"/>
      <c r="I66" s="1074">
        <f t="shared" ref="I66" si="45">SUM(J66,L66)</f>
        <v>2742.3</v>
      </c>
      <c r="J66" s="1075">
        <f>SUM(J61:J65)</f>
        <v>2684.1000000000004</v>
      </c>
      <c r="K66" s="1075">
        <f>SUM(K61:K65)</f>
        <v>1852.2</v>
      </c>
      <c r="L66" s="1076">
        <f>SUM(L61:L65)</f>
        <v>58.199999999999996</v>
      </c>
      <c r="M66" s="1097">
        <f t="shared" ref="M66" si="46">SUM(N66,P66)</f>
        <v>2684</v>
      </c>
      <c r="N66" s="1075">
        <f>SUM(N61:N65)</f>
        <v>2684</v>
      </c>
      <c r="O66" s="1075">
        <f>SUM(O61:O65)</f>
        <v>1905</v>
      </c>
      <c r="P66" s="1076">
        <f>SUM(P61:P65)</f>
        <v>0</v>
      </c>
      <c r="Q66" s="1097">
        <f t="shared" ref="Q66" si="47">SUM(R66,T66)</f>
        <v>2666.1</v>
      </c>
      <c r="R66" s="1075">
        <f>SUM(R61:R65)</f>
        <v>2666.1</v>
      </c>
      <c r="S66" s="1075">
        <f>SUM(S61:S65)</f>
        <v>1906</v>
      </c>
      <c r="T66" s="1076">
        <f>SUM(T61:T65)</f>
        <v>0</v>
      </c>
      <c r="U66" s="1097">
        <f t="shared" ref="U66" si="48">SUM(V66,X66)</f>
        <v>2666.1</v>
      </c>
      <c r="V66" s="1075">
        <f>SUM(V61:V65)</f>
        <v>2666.1</v>
      </c>
      <c r="W66" s="1075">
        <f>SUM(W61:W65)</f>
        <v>1906</v>
      </c>
      <c r="X66" s="1076">
        <f>SUM(X61:X65)</f>
        <v>0</v>
      </c>
      <c r="Y66" s="1219"/>
      <c r="Z66" s="2435"/>
    </row>
    <row r="67" spans="1:32" ht="27.75" customHeight="1" x14ac:dyDescent="0.2">
      <c r="A67" s="3242">
        <v>2</v>
      </c>
      <c r="B67" s="3198">
        <v>1</v>
      </c>
      <c r="C67" s="3168">
        <v>5</v>
      </c>
      <c r="D67" s="3244" t="s">
        <v>552</v>
      </c>
      <c r="E67" s="3225" t="s">
        <v>68</v>
      </c>
      <c r="F67" s="3132" t="s">
        <v>529</v>
      </c>
      <c r="G67" s="3132" t="s">
        <v>553</v>
      </c>
      <c r="H67" s="2427" t="s">
        <v>30</v>
      </c>
      <c r="I67" s="1071">
        <f>J67+L67</f>
        <v>415.9</v>
      </c>
      <c r="J67" s="130">
        <v>412</v>
      </c>
      <c r="K67" s="130">
        <v>370.3</v>
      </c>
      <c r="L67" s="151">
        <v>3.9</v>
      </c>
      <c r="M67" s="1071">
        <f>SUM(N67,P67)</f>
        <v>500</v>
      </c>
      <c r="N67" s="130">
        <v>500</v>
      </c>
      <c r="O67" s="130">
        <v>474.4</v>
      </c>
      <c r="P67" s="151">
        <v>0</v>
      </c>
      <c r="Q67" s="1071">
        <f>SUM(R67,T67)</f>
        <v>544.70000000000005</v>
      </c>
      <c r="R67" s="130">
        <v>544.70000000000005</v>
      </c>
      <c r="S67" s="130">
        <v>519.1</v>
      </c>
      <c r="T67" s="151">
        <v>0</v>
      </c>
      <c r="U67" s="1071">
        <f>SUM(V67,X67)</f>
        <v>544.70000000000005</v>
      </c>
      <c r="V67" s="130">
        <v>544.70000000000005</v>
      </c>
      <c r="W67" s="130">
        <v>519.1</v>
      </c>
      <c r="X67" s="151">
        <v>0</v>
      </c>
      <c r="Y67" s="1219"/>
      <c r="Z67" s="2435"/>
      <c r="AC67" s="134"/>
      <c r="AD67" s="134"/>
      <c r="AE67" s="134"/>
      <c r="AF67" s="134"/>
    </row>
    <row r="68" spans="1:32" ht="27.75" customHeight="1" x14ac:dyDescent="0.2">
      <c r="A68" s="3242"/>
      <c r="B68" s="3193"/>
      <c r="C68" s="3132"/>
      <c r="D68" s="3244"/>
      <c r="E68" s="3214"/>
      <c r="F68" s="3132"/>
      <c r="G68" s="3132"/>
      <c r="H68" s="2417" t="s">
        <v>33</v>
      </c>
      <c r="I68" s="1083">
        <f>J68+L68</f>
        <v>14.3</v>
      </c>
      <c r="J68" s="152">
        <v>14.3</v>
      </c>
      <c r="K68" s="152">
        <v>14.1</v>
      </c>
      <c r="L68" s="153"/>
      <c r="M68" s="1083">
        <v>1.5</v>
      </c>
      <c r="N68" s="152">
        <v>1.5</v>
      </c>
      <c r="O68" s="152">
        <v>1.5</v>
      </c>
      <c r="P68" s="153"/>
      <c r="Q68" s="1083"/>
      <c r="R68" s="152"/>
      <c r="S68" s="152"/>
      <c r="T68" s="153"/>
      <c r="U68" s="1083"/>
      <c r="V68" s="152"/>
      <c r="W68" s="152"/>
      <c r="X68" s="153"/>
      <c r="Y68" s="1219"/>
      <c r="Z68" s="2435"/>
      <c r="AC68" s="134"/>
      <c r="AD68" s="134"/>
      <c r="AE68" s="134"/>
      <c r="AF68" s="134"/>
    </row>
    <row r="69" spans="1:32" ht="24.4" customHeight="1" thickBot="1" x14ac:dyDescent="0.25">
      <c r="A69" s="3242"/>
      <c r="B69" s="3193"/>
      <c r="C69" s="3132"/>
      <c r="D69" s="3244"/>
      <c r="E69" s="3214"/>
      <c r="F69" s="3132"/>
      <c r="G69" s="3132"/>
      <c r="H69" s="2426" t="s">
        <v>31</v>
      </c>
      <c r="I69" s="1084">
        <v>0</v>
      </c>
      <c r="J69" s="142">
        <v>0</v>
      </c>
      <c r="K69" s="142">
        <v>0</v>
      </c>
      <c r="L69" s="143"/>
      <c r="M69" s="1084">
        <f>N69+P69</f>
        <v>0</v>
      </c>
      <c r="N69" s="142"/>
      <c r="O69" s="142"/>
      <c r="P69" s="143"/>
      <c r="Q69" s="1084">
        <f>R69+T69</f>
        <v>0</v>
      </c>
      <c r="R69" s="142"/>
      <c r="S69" s="142"/>
      <c r="T69" s="142"/>
      <c r="U69" s="1084">
        <f>V69+X69</f>
        <v>0</v>
      </c>
      <c r="V69" s="142"/>
      <c r="W69" s="142"/>
      <c r="X69" s="143"/>
      <c r="Y69" s="1219"/>
      <c r="Z69" s="2435"/>
    </row>
    <row r="70" spans="1:32" ht="45" customHeight="1" thickBot="1" x14ac:dyDescent="0.25">
      <c r="A70" s="3243"/>
      <c r="B70" s="3199"/>
      <c r="C70" s="3200"/>
      <c r="D70" s="3244"/>
      <c r="E70" s="3245"/>
      <c r="F70" s="3217" t="s">
        <v>35</v>
      </c>
      <c r="G70" s="3204"/>
      <c r="H70" s="3205"/>
      <c r="I70" s="1074">
        <f>SUM(J70,L70)</f>
        <v>430.2</v>
      </c>
      <c r="J70" s="1075">
        <f>J67+J69+J68</f>
        <v>426.3</v>
      </c>
      <c r="K70" s="1075">
        <f>K67+K69+K68</f>
        <v>384.40000000000003</v>
      </c>
      <c r="L70" s="1076">
        <f>SUM(L67:L67)</f>
        <v>3.9</v>
      </c>
      <c r="M70" s="1074">
        <f>SUM(N70,P70)</f>
        <v>501.5</v>
      </c>
      <c r="N70" s="1075">
        <f>N67+N69+N68</f>
        <v>501.5</v>
      </c>
      <c r="O70" s="1075">
        <f>O67+O69+O68</f>
        <v>475.9</v>
      </c>
      <c r="P70" s="1076">
        <f>SUM(P67:P67)</f>
        <v>0</v>
      </c>
      <c r="Q70" s="1074">
        <f>SUM(R70,T70)</f>
        <v>544.70000000000005</v>
      </c>
      <c r="R70" s="1075">
        <f>R67+R69+R68</f>
        <v>544.70000000000005</v>
      </c>
      <c r="S70" s="1075">
        <f>S67+S69+S68</f>
        <v>519.1</v>
      </c>
      <c r="T70" s="1076">
        <f>SUM(T67:T67)</f>
        <v>0</v>
      </c>
      <c r="U70" s="1074">
        <f>SUM(V70,X70)</f>
        <v>544.70000000000005</v>
      </c>
      <c r="V70" s="1075">
        <f>V67+V69+V68</f>
        <v>544.70000000000005</v>
      </c>
      <c r="W70" s="1075">
        <f>W67+W69+W68</f>
        <v>519.1</v>
      </c>
      <c r="X70" s="1076">
        <f>SUM(X67:X67)</f>
        <v>0</v>
      </c>
      <c r="Y70" s="1219"/>
      <c r="Z70" s="2435"/>
      <c r="AC70" s="540"/>
      <c r="AD70" s="540"/>
    </row>
    <row r="71" spans="1:32" ht="24.4" customHeight="1" x14ac:dyDescent="0.2">
      <c r="A71" s="3196">
        <v>2</v>
      </c>
      <c r="B71" s="3198">
        <v>1</v>
      </c>
      <c r="C71" s="3168">
        <v>6</v>
      </c>
      <c r="D71" s="3169" t="s">
        <v>554</v>
      </c>
      <c r="E71" s="3240" t="s">
        <v>538</v>
      </c>
      <c r="F71" s="3130" t="s">
        <v>529</v>
      </c>
      <c r="G71" s="3130" t="s">
        <v>555</v>
      </c>
      <c r="H71" s="2418" t="s">
        <v>30</v>
      </c>
      <c r="I71" s="1070">
        <v>172.1</v>
      </c>
      <c r="J71" s="129">
        <v>170.1</v>
      </c>
      <c r="K71" s="129">
        <v>254</v>
      </c>
      <c r="L71" s="133">
        <v>2</v>
      </c>
      <c r="M71" s="1093">
        <f>SUM(N71,P71)</f>
        <v>193.6</v>
      </c>
      <c r="N71" s="130">
        <v>193.6</v>
      </c>
      <c r="O71" s="130">
        <v>179.3</v>
      </c>
      <c r="P71" s="133">
        <v>0</v>
      </c>
      <c r="Q71" s="1093">
        <f>SUM(R71,T71)</f>
        <v>213.5</v>
      </c>
      <c r="R71" s="130">
        <v>213.5</v>
      </c>
      <c r="S71" s="129">
        <v>199.2</v>
      </c>
      <c r="T71" s="133">
        <v>0</v>
      </c>
      <c r="U71" s="1093">
        <f>SUM(V71,X71)</f>
        <v>213.5</v>
      </c>
      <c r="V71" s="130">
        <v>213.5</v>
      </c>
      <c r="W71" s="129">
        <v>199.2</v>
      </c>
      <c r="X71" s="133">
        <v>0</v>
      </c>
      <c r="Y71" s="1219"/>
      <c r="Z71" s="2435"/>
      <c r="AC71" s="540"/>
      <c r="AD71" s="540"/>
      <c r="AE71" s="540"/>
      <c r="AF71" s="540"/>
    </row>
    <row r="72" spans="1:32" ht="24.4" customHeight="1" x14ac:dyDescent="0.2">
      <c r="A72" s="3192"/>
      <c r="B72" s="3193"/>
      <c r="C72" s="3132"/>
      <c r="D72" s="3194"/>
      <c r="E72" s="3240"/>
      <c r="F72" s="3132"/>
      <c r="G72" s="3132"/>
      <c r="H72" s="2430" t="s">
        <v>33</v>
      </c>
      <c r="I72" s="1083">
        <f>J72+L72</f>
        <v>7.1999999999999993</v>
      </c>
      <c r="J72" s="152">
        <f>7.1+0.1</f>
        <v>7.1999999999999993</v>
      </c>
      <c r="K72" s="152">
        <v>7.1</v>
      </c>
      <c r="L72" s="153"/>
      <c r="M72" s="1095">
        <v>1.5</v>
      </c>
      <c r="N72" s="152">
        <v>1.5</v>
      </c>
      <c r="O72" s="152">
        <v>1.5</v>
      </c>
      <c r="P72" s="153"/>
      <c r="Q72" s="1095"/>
      <c r="R72" s="152"/>
      <c r="S72" s="152"/>
      <c r="T72" s="153"/>
      <c r="U72" s="1095"/>
      <c r="V72" s="152"/>
      <c r="W72" s="152"/>
      <c r="X72" s="153"/>
      <c r="Y72" s="1219"/>
      <c r="Z72" s="2435"/>
      <c r="AC72" s="540"/>
      <c r="AD72" s="540"/>
      <c r="AE72" s="540"/>
      <c r="AF72" s="540"/>
    </row>
    <row r="73" spans="1:32" ht="24.4" customHeight="1" thickBot="1" x14ac:dyDescent="0.25">
      <c r="A73" s="3192"/>
      <c r="B73" s="3193"/>
      <c r="C73" s="3132"/>
      <c r="D73" s="3194"/>
      <c r="E73" s="3240"/>
      <c r="F73" s="3132"/>
      <c r="G73" s="3132"/>
      <c r="H73" s="2416" t="s">
        <v>34</v>
      </c>
      <c r="I73" s="148">
        <f>J73+L73</f>
        <v>5.5</v>
      </c>
      <c r="J73" s="149">
        <v>5.5</v>
      </c>
      <c r="K73" s="149"/>
      <c r="L73" s="150">
        <v>0</v>
      </c>
      <c r="M73" s="1116">
        <f>SUM(N73,P73)</f>
        <v>6.3</v>
      </c>
      <c r="N73" s="149">
        <v>6.3</v>
      </c>
      <c r="O73" s="149"/>
      <c r="P73" s="150">
        <v>0</v>
      </c>
      <c r="Q73" s="148">
        <f>SUM(R73,T73)</f>
        <v>6.3</v>
      </c>
      <c r="R73" s="149">
        <v>6.3</v>
      </c>
      <c r="S73" s="149"/>
      <c r="T73" s="150">
        <v>0</v>
      </c>
      <c r="U73" s="148">
        <f>SUM(V73,X73)</f>
        <v>6.3</v>
      </c>
      <c r="V73" s="149">
        <v>6.3</v>
      </c>
      <c r="W73" s="149"/>
      <c r="X73" s="150">
        <v>0</v>
      </c>
      <c r="Y73" s="1219"/>
      <c r="Z73" s="2435"/>
      <c r="AC73" s="540"/>
      <c r="AD73" s="540"/>
    </row>
    <row r="74" spans="1:32" ht="17.100000000000001" customHeight="1" thickBot="1" x14ac:dyDescent="0.25">
      <c r="A74" s="3197"/>
      <c r="B74" s="3199"/>
      <c r="C74" s="3200"/>
      <c r="D74" s="3219"/>
      <c r="E74" s="3241"/>
      <c r="F74" s="3217" t="s">
        <v>35</v>
      </c>
      <c r="G74" s="3204"/>
      <c r="H74" s="3205"/>
      <c r="I74" s="1117">
        <f>SUM(J74,L74)</f>
        <v>184.79999999999998</v>
      </c>
      <c r="J74" s="1118">
        <f>SUM(J71:J73)</f>
        <v>182.79999999999998</v>
      </c>
      <c r="K74" s="1118">
        <f>SUM(K71:K73)</f>
        <v>261.10000000000002</v>
      </c>
      <c r="L74" s="1119">
        <f>SUM(L71:L73)</f>
        <v>2</v>
      </c>
      <c r="M74" s="1120">
        <f>SUM(N74,P74)</f>
        <v>201.4</v>
      </c>
      <c r="N74" s="1118">
        <f>SUM(N71:N73)</f>
        <v>201.4</v>
      </c>
      <c r="O74" s="1118">
        <f>SUM(O71:O73)</f>
        <v>180.8</v>
      </c>
      <c r="P74" s="1119">
        <f>SUM(P71:P73)</f>
        <v>0</v>
      </c>
      <c r="Q74" s="1120">
        <f>SUM(R74,T74)</f>
        <v>219.8</v>
      </c>
      <c r="R74" s="1118">
        <f>SUM(R71:R73)</f>
        <v>219.8</v>
      </c>
      <c r="S74" s="1118">
        <f>SUM(S71:S73)</f>
        <v>199.2</v>
      </c>
      <c r="T74" s="1119">
        <f>SUM(T71:T73)</f>
        <v>0</v>
      </c>
      <c r="U74" s="1120">
        <f>SUM(V74,X74)</f>
        <v>219.8</v>
      </c>
      <c r="V74" s="1118">
        <f>SUM(V71:V73)</f>
        <v>219.8</v>
      </c>
      <c r="W74" s="1118">
        <f>SUM(W71:W73)</f>
        <v>199.2</v>
      </c>
      <c r="X74" s="1119">
        <f>SUM(X71:X73)</f>
        <v>0</v>
      </c>
      <c r="Y74" s="1219"/>
      <c r="Z74" s="2435"/>
    </row>
    <row r="75" spans="1:32" ht="30.75" customHeight="1" x14ac:dyDescent="0.2">
      <c r="A75" s="3196">
        <v>2</v>
      </c>
      <c r="B75" s="3198">
        <v>1</v>
      </c>
      <c r="C75" s="3168">
        <v>7</v>
      </c>
      <c r="D75" s="3136" t="s">
        <v>556</v>
      </c>
      <c r="E75" s="3167" t="s">
        <v>538</v>
      </c>
      <c r="F75" s="3130" t="s">
        <v>529</v>
      </c>
      <c r="G75" s="3130" t="s">
        <v>557</v>
      </c>
      <c r="H75" s="1121" t="s">
        <v>30</v>
      </c>
      <c r="I75" s="129">
        <f>J75+L75</f>
        <v>108.5</v>
      </c>
      <c r="J75" s="129">
        <v>108.5</v>
      </c>
      <c r="K75" s="129">
        <v>66.7</v>
      </c>
      <c r="L75" s="133"/>
      <c r="M75" s="129">
        <f>SUM(N75,P75)</f>
        <v>147.9</v>
      </c>
      <c r="N75" s="129">
        <v>147.9</v>
      </c>
      <c r="O75" s="129">
        <v>94.9</v>
      </c>
      <c r="P75" s="133"/>
      <c r="Q75" s="129">
        <f>SUM(R75,T75)</f>
        <v>158.4</v>
      </c>
      <c r="R75" s="129">
        <v>158.4</v>
      </c>
      <c r="S75" s="129">
        <v>105.5</v>
      </c>
      <c r="T75" s="133"/>
      <c r="U75" s="129">
        <f>SUM(V75,X75)</f>
        <v>158.4</v>
      </c>
      <c r="V75" s="129">
        <v>158.4</v>
      </c>
      <c r="W75" s="129">
        <v>105.5</v>
      </c>
      <c r="X75" s="133"/>
      <c r="Y75" s="1219"/>
      <c r="Z75" s="2435"/>
      <c r="AC75" s="540"/>
      <c r="AD75" s="540"/>
      <c r="AE75" s="540"/>
      <c r="AF75" s="540"/>
    </row>
    <row r="76" spans="1:32" ht="30.75" customHeight="1" thickBot="1" x14ac:dyDescent="0.25">
      <c r="A76" s="3192"/>
      <c r="B76" s="3193"/>
      <c r="C76" s="3132"/>
      <c r="D76" s="3136"/>
      <c r="E76" s="3218"/>
      <c r="F76" s="3131"/>
      <c r="G76" s="3131"/>
      <c r="H76" s="2430" t="s">
        <v>33</v>
      </c>
      <c r="I76" s="1095">
        <f>J76+L76</f>
        <v>2.2999999999999998</v>
      </c>
      <c r="J76" s="152">
        <v>2.2999999999999998</v>
      </c>
      <c r="K76" s="152">
        <v>2.2000000000000002</v>
      </c>
      <c r="L76" s="153"/>
      <c r="M76" s="2293">
        <v>1</v>
      </c>
      <c r="N76" s="1096">
        <v>1</v>
      </c>
      <c r="O76" s="1096">
        <v>1</v>
      </c>
      <c r="P76" s="153"/>
      <c r="Q76" s="2293"/>
      <c r="R76" s="1096"/>
      <c r="S76" s="1096"/>
      <c r="T76" s="153"/>
      <c r="U76" s="2293"/>
      <c r="V76" s="1096"/>
      <c r="W76" s="1096"/>
      <c r="X76" s="153"/>
      <c r="Y76" s="1219"/>
      <c r="Z76" s="2435"/>
      <c r="AC76" s="540"/>
      <c r="AD76" s="540"/>
      <c r="AE76" s="540"/>
      <c r="AF76" s="540"/>
    </row>
    <row r="77" spans="1:32" ht="30.75" customHeight="1" thickBot="1" x14ac:dyDescent="0.25">
      <c r="A77" s="3197"/>
      <c r="B77" s="3199"/>
      <c r="C77" s="3200"/>
      <c r="D77" s="3136"/>
      <c r="E77" s="3218"/>
      <c r="F77" s="3217" t="s">
        <v>35</v>
      </c>
      <c r="G77" s="3204"/>
      <c r="H77" s="3205"/>
      <c r="I77" s="1074">
        <f t="shared" ref="I77" si="49">SUM(J77,L77)</f>
        <v>110.8</v>
      </c>
      <c r="J77" s="1075">
        <f>SUM(J75:J76)</f>
        <v>110.8</v>
      </c>
      <c r="K77" s="1075">
        <f t="shared" ref="K77:X77" si="50">SUM(K75:K76)</f>
        <v>68.900000000000006</v>
      </c>
      <c r="L77" s="1078">
        <f t="shared" si="50"/>
        <v>0</v>
      </c>
      <c r="M77" s="1074">
        <f t="shared" si="50"/>
        <v>148.9</v>
      </c>
      <c r="N77" s="1075">
        <f t="shared" si="50"/>
        <v>148.9</v>
      </c>
      <c r="O77" s="1075">
        <f t="shared" si="50"/>
        <v>95.9</v>
      </c>
      <c r="P77" s="1076">
        <f t="shared" si="50"/>
        <v>0</v>
      </c>
      <c r="Q77" s="1077">
        <f t="shared" si="50"/>
        <v>158.4</v>
      </c>
      <c r="R77" s="1075">
        <f t="shared" si="50"/>
        <v>158.4</v>
      </c>
      <c r="S77" s="1075">
        <f t="shared" si="50"/>
        <v>105.5</v>
      </c>
      <c r="T77" s="1078">
        <f t="shared" si="50"/>
        <v>0</v>
      </c>
      <c r="U77" s="1074">
        <f t="shared" si="50"/>
        <v>158.4</v>
      </c>
      <c r="V77" s="1075">
        <f t="shared" si="50"/>
        <v>158.4</v>
      </c>
      <c r="W77" s="1075">
        <f t="shared" si="50"/>
        <v>105.5</v>
      </c>
      <c r="X77" s="1076">
        <f t="shared" si="50"/>
        <v>0</v>
      </c>
      <c r="Y77" s="1219"/>
      <c r="Z77" s="2435"/>
      <c r="AC77" s="540"/>
    </row>
    <row r="78" spans="1:32" ht="20.25" customHeight="1" thickBot="1" x14ac:dyDescent="0.25">
      <c r="A78" s="3196">
        <v>2</v>
      </c>
      <c r="B78" s="3198">
        <v>1</v>
      </c>
      <c r="C78" s="3168">
        <v>8</v>
      </c>
      <c r="D78" s="3238" t="s">
        <v>558</v>
      </c>
      <c r="E78" s="3225">
        <v>9</v>
      </c>
      <c r="F78" s="2415" t="s">
        <v>529</v>
      </c>
      <c r="G78" s="1099" t="s">
        <v>559</v>
      </c>
      <c r="H78" s="1122" t="s">
        <v>30</v>
      </c>
      <c r="I78" s="1123">
        <f>J78+L78</f>
        <v>32.200000000000003</v>
      </c>
      <c r="J78" s="1088">
        <v>32.200000000000003</v>
      </c>
      <c r="K78" s="1088"/>
      <c r="L78" s="1124"/>
      <c r="M78" s="1125">
        <v>70</v>
      </c>
      <c r="N78" s="1126">
        <v>70</v>
      </c>
      <c r="O78" s="1126"/>
      <c r="P78" s="1124"/>
      <c r="Q78" s="1127">
        <v>70</v>
      </c>
      <c r="R78" s="1124">
        <v>70</v>
      </c>
      <c r="S78" s="1124"/>
      <c r="T78" s="1128"/>
      <c r="U78" s="1127">
        <v>70</v>
      </c>
      <c r="V78" s="1124">
        <v>70</v>
      </c>
      <c r="W78" s="1124"/>
      <c r="X78" s="1128"/>
      <c r="Y78" s="1219"/>
      <c r="Z78" s="2435"/>
      <c r="AC78" s="540"/>
    </row>
    <row r="79" spans="1:32" ht="21" customHeight="1" thickBot="1" x14ac:dyDescent="0.25">
      <c r="A79" s="3197"/>
      <c r="B79" s="3199"/>
      <c r="C79" s="3200"/>
      <c r="D79" s="3239"/>
      <c r="E79" s="3214"/>
      <c r="F79" s="3217" t="s">
        <v>35</v>
      </c>
      <c r="G79" s="3204"/>
      <c r="H79" s="3205"/>
      <c r="I79" s="1074">
        <f>SUM(J78,L78)</f>
        <v>32.200000000000003</v>
      </c>
      <c r="J79" s="1075">
        <f>SUM(J78)</f>
        <v>32.200000000000003</v>
      </c>
      <c r="K79" s="1075">
        <f>SUM(K78)</f>
        <v>0</v>
      </c>
      <c r="L79" s="1078"/>
      <c r="M79" s="1097">
        <f>SUM(N78,P78)</f>
        <v>70</v>
      </c>
      <c r="N79" s="1078">
        <f>SUM(N78)</f>
        <v>70</v>
      </c>
      <c r="O79" s="1078">
        <f>SUM(O78)</f>
        <v>0</v>
      </c>
      <c r="P79" s="1078"/>
      <c r="Q79" s="1097">
        <f>SUM(R78,T78)</f>
        <v>70</v>
      </c>
      <c r="R79" s="1078">
        <f>SUM(R78)</f>
        <v>70</v>
      </c>
      <c r="S79" s="1078"/>
      <c r="T79" s="1076"/>
      <c r="U79" s="1097">
        <f>SUM(V78,X78)</f>
        <v>70</v>
      </c>
      <c r="V79" s="1078">
        <f>SUM(V78)</f>
        <v>70</v>
      </c>
      <c r="W79" s="1078"/>
      <c r="X79" s="1076"/>
      <c r="Y79" s="1219"/>
      <c r="Z79" s="2435"/>
      <c r="AC79" s="540"/>
    </row>
    <row r="80" spans="1:32" ht="19.149999999999999" customHeight="1" x14ac:dyDescent="0.2">
      <c r="A80" s="3196">
        <v>2</v>
      </c>
      <c r="B80" s="3198">
        <v>1</v>
      </c>
      <c r="C80" s="3201">
        <v>9</v>
      </c>
      <c r="D80" s="3236" t="s">
        <v>560</v>
      </c>
      <c r="E80" s="2429" t="s">
        <v>538</v>
      </c>
      <c r="F80" s="3130" t="s">
        <v>529</v>
      </c>
      <c r="G80" s="3130" t="s">
        <v>561</v>
      </c>
      <c r="H80" s="3232" t="s">
        <v>30</v>
      </c>
      <c r="I80" s="1070">
        <f>J80+L80</f>
        <v>4.4000000000000004</v>
      </c>
      <c r="J80" s="129">
        <v>1.3</v>
      </c>
      <c r="K80" s="129"/>
      <c r="L80" s="132">
        <v>3.1</v>
      </c>
      <c r="M80" s="1129">
        <f>SUM(N80,P80)</f>
        <v>97.300000000000011</v>
      </c>
      <c r="N80" s="132">
        <v>8.4</v>
      </c>
      <c r="O80" s="132"/>
      <c r="P80" s="2285">
        <v>88.9</v>
      </c>
      <c r="Q80" s="1129">
        <f>R80+T80</f>
        <v>0</v>
      </c>
      <c r="R80" s="132"/>
      <c r="S80" s="132"/>
      <c r="T80" s="133"/>
      <c r="U80" s="1129">
        <f>V80+X80</f>
        <v>0</v>
      </c>
      <c r="V80" s="132"/>
      <c r="W80" s="132"/>
      <c r="X80" s="133"/>
      <c r="Y80" s="1219"/>
      <c r="Z80" s="2435"/>
      <c r="AC80" s="540"/>
    </row>
    <row r="81" spans="1:29" ht="17.649999999999999" customHeight="1" x14ac:dyDescent="0.2">
      <c r="A81" s="3192"/>
      <c r="B81" s="3193"/>
      <c r="C81" s="3201"/>
      <c r="D81" s="3236"/>
      <c r="E81" s="2429" t="s">
        <v>562</v>
      </c>
      <c r="F81" s="3132"/>
      <c r="G81" s="3132"/>
      <c r="H81" s="3233"/>
      <c r="I81" s="1082">
        <f>J81+L81</f>
        <v>4.8</v>
      </c>
      <c r="J81" s="131">
        <v>4.8</v>
      </c>
      <c r="K81" s="131"/>
      <c r="L81" s="136">
        <v>0</v>
      </c>
      <c r="M81" s="1130">
        <f>SUM(N81,P81)</f>
        <v>6</v>
      </c>
      <c r="N81" s="136">
        <v>6</v>
      </c>
      <c r="O81" s="136"/>
      <c r="P81" s="1131"/>
      <c r="Q81" s="1130"/>
      <c r="R81" s="136"/>
      <c r="S81" s="136"/>
      <c r="T81" s="137"/>
      <c r="U81" s="1130"/>
      <c r="V81" s="136"/>
      <c r="W81" s="136"/>
      <c r="X81" s="137"/>
      <c r="Y81" s="1219"/>
      <c r="Z81" s="2435"/>
      <c r="AC81" s="540"/>
    </row>
    <row r="82" spans="1:29" ht="17.649999999999999" customHeight="1" x14ac:dyDescent="0.2">
      <c r="A82" s="3192"/>
      <c r="B82" s="3193"/>
      <c r="C82" s="3201"/>
      <c r="D82" s="3236"/>
      <c r="E82" s="2429" t="s">
        <v>68</v>
      </c>
      <c r="F82" s="3132"/>
      <c r="G82" s="3132"/>
      <c r="H82" s="3233"/>
      <c r="I82" s="1082">
        <f>J82+L82</f>
        <v>4.0999999999999996</v>
      </c>
      <c r="J82" s="131">
        <v>0.3</v>
      </c>
      <c r="K82" s="131"/>
      <c r="L82" s="136">
        <v>3.8</v>
      </c>
      <c r="M82" s="1130">
        <f>SUM(N82,P82)</f>
        <v>0</v>
      </c>
      <c r="N82" s="136"/>
      <c r="O82" s="136"/>
      <c r="P82" s="1131"/>
      <c r="Q82" s="1130"/>
      <c r="R82" s="136"/>
      <c r="S82" s="136"/>
      <c r="T82" s="137"/>
      <c r="U82" s="1130"/>
      <c r="V82" s="136"/>
      <c r="W82" s="136"/>
      <c r="X82" s="137"/>
      <c r="Y82" s="1219"/>
      <c r="Z82" s="2435"/>
      <c r="AC82" s="540"/>
    </row>
    <row r="83" spans="1:29" ht="16.899999999999999" customHeight="1" x14ac:dyDescent="0.2">
      <c r="A83" s="3192"/>
      <c r="B83" s="3193"/>
      <c r="C83" s="3201"/>
      <c r="D83" s="3236"/>
      <c r="E83" s="2429" t="s">
        <v>542</v>
      </c>
      <c r="F83" s="3132"/>
      <c r="G83" s="3132"/>
      <c r="H83" s="3233"/>
      <c r="I83" s="1082">
        <f t="shared" ref="I83:I85" si="51">J83+L83</f>
        <v>6.1999999999999993</v>
      </c>
      <c r="J83" s="131">
        <v>1.6</v>
      </c>
      <c r="K83" s="131"/>
      <c r="L83" s="136">
        <v>4.5999999999999996</v>
      </c>
      <c r="M83" s="1130">
        <f>SUM(N83,P83)</f>
        <v>11.5</v>
      </c>
      <c r="N83" s="136">
        <v>6</v>
      </c>
      <c r="O83" s="136"/>
      <c r="P83" s="1131">
        <v>5.5</v>
      </c>
      <c r="Q83" s="1130"/>
      <c r="R83" s="136"/>
      <c r="S83" s="136"/>
      <c r="T83" s="137"/>
      <c r="U83" s="1130"/>
      <c r="V83" s="136"/>
      <c r="W83" s="136"/>
      <c r="X83" s="137"/>
      <c r="Y83" s="1219"/>
      <c r="Z83" s="2435"/>
      <c r="AC83" s="540"/>
    </row>
    <row r="84" spans="1:29" ht="18.399999999999999" customHeight="1" x14ac:dyDescent="0.2">
      <c r="A84" s="3192"/>
      <c r="B84" s="3193"/>
      <c r="C84" s="3201"/>
      <c r="D84" s="3236"/>
      <c r="E84" s="2429" t="s">
        <v>549</v>
      </c>
      <c r="F84" s="3132"/>
      <c r="G84" s="3132"/>
      <c r="H84" s="3233"/>
      <c r="I84" s="1082">
        <f t="shared" si="51"/>
        <v>5.5</v>
      </c>
      <c r="J84" s="131">
        <v>1.3</v>
      </c>
      <c r="K84" s="131"/>
      <c r="L84" s="136">
        <v>4.2</v>
      </c>
      <c r="M84" s="1130"/>
      <c r="N84" s="136"/>
      <c r="O84" s="136"/>
      <c r="P84" s="136"/>
      <c r="Q84" s="1130">
        <f>R84+T84</f>
        <v>0</v>
      </c>
      <c r="R84" s="136"/>
      <c r="S84" s="136"/>
      <c r="T84" s="137"/>
      <c r="U84" s="1130">
        <f>V84+X84</f>
        <v>0</v>
      </c>
      <c r="V84" s="136"/>
      <c r="W84" s="136"/>
      <c r="X84" s="137"/>
      <c r="Y84" s="1219"/>
      <c r="Z84" s="2435"/>
      <c r="AC84" s="540"/>
    </row>
    <row r="85" spans="1:29" ht="19.899999999999999" customHeight="1" thickBot="1" x14ac:dyDescent="0.25">
      <c r="A85" s="3192"/>
      <c r="B85" s="3193"/>
      <c r="C85" s="3201"/>
      <c r="D85" s="3207"/>
      <c r="E85" s="3214">
        <v>7</v>
      </c>
      <c r="F85" s="3131"/>
      <c r="G85" s="3131"/>
      <c r="H85" s="3234"/>
      <c r="I85" s="1082">
        <f t="shared" si="51"/>
        <v>0</v>
      </c>
      <c r="J85" s="1132">
        <f>25-25</f>
        <v>0</v>
      </c>
      <c r="K85" s="1132"/>
      <c r="L85" s="1133"/>
      <c r="M85" s="1134">
        <f>SUM(N85,P85)</f>
        <v>63</v>
      </c>
      <c r="N85" s="1133">
        <f>30+33</f>
        <v>63</v>
      </c>
      <c r="O85" s="1133"/>
      <c r="P85" s="1133"/>
      <c r="Q85" s="1134">
        <f>R85+T85</f>
        <v>0</v>
      </c>
      <c r="R85" s="1133"/>
      <c r="S85" s="1133"/>
      <c r="T85" s="1135"/>
      <c r="U85" s="1134">
        <f>V85+X85</f>
        <v>0</v>
      </c>
      <c r="V85" s="1133"/>
      <c r="W85" s="1133"/>
      <c r="X85" s="1135"/>
      <c r="Y85" s="1219"/>
      <c r="Z85" s="2435"/>
      <c r="AC85" s="540"/>
    </row>
    <row r="86" spans="1:29" ht="22.5" customHeight="1" thickBot="1" x14ac:dyDescent="0.25">
      <c r="A86" s="3197"/>
      <c r="B86" s="3199"/>
      <c r="C86" s="3202"/>
      <c r="D86" s="3237"/>
      <c r="E86" s="3235"/>
      <c r="F86" s="3217" t="s">
        <v>35</v>
      </c>
      <c r="G86" s="3204"/>
      <c r="H86" s="3205"/>
      <c r="I86" s="1074">
        <f>J86+L86</f>
        <v>25</v>
      </c>
      <c r="J86" s="1075">
        <f>SUM(J80:J85)</f>
        <v>9.3000000000000007</v>
      </c>
      <c r="K86" s="1075">
        <f t="shared" ref="K86:L86" si="52">SUM(K80:K85)</f>
        <v>0</v>
      </c>
      <c r="L86" s="1075">
        <f t="shared" si="52"/>
        <v>15.7</v>
      </c>
      <c r="M86" s="1097">
        <f>SUM(N86:P86)</f>
        <v>177.8</v>
      </c>
      <c r="N86" s="1078">
        <f>SUM(N80:N85)</f>
        <v>83.4</v>
      </c>
      <c r="O86" s="1078">
        <f>SUM(O80)</f>
        <v>0</v>
      </c>
      <c r="P86" s="1078">
        <f>SUM(P80:P85)</f>
        <v>94.4</v>
      </c>
      <c r="Q86" s="1097">
        <f>SUM(R80,T80)</f>
        <v>0</v>
      </c>
      <c r="R86" s="1078">
        <f>SUM(R80)</f>
        <v>0</v>
      </c>
      <c r="S86" s="1078"/>
      <c r="T86" s="1076"/>
      <c r="U86" s="1097">
        <f>SUM(V80,X80)</f>
        <v>0</v>
      </c>
      <c r="V86" s="1078">
        <f>SUM(V80)</f>
        <v>0</v>
      </c>
      <c r="W86" s="1078"/>
      <c r="X86" s="1076"/>
      <c r="Y86" s="1219"/>
      <c r="Z86" s="2435"/>
      <c r="AC86" s="540"/>
    </row>
    <row r="87" spans="1:29" ht="13.5" customHeight="1" thickBot="1" x14ac:dyDescent="0.25">
      <c r="A87" s="2431">
        <v>2</v>
      </c>
      <c r="B87" s="1136">
        <v>1</v>
      </c>
      <c r="C87" s="3180" t="s">
        <v>234</v>
      </c>
      <c r="D87" s="3181"/>
      <c r="E87" s="3181"/>
      <c r="F87" s="3181"/>
      <c r="G87" s="3181"/>
      <c r="H87" s="3182"/>
      <c r="I87" s="1137">
        <f>SUM(J87,L87)</f>
        <v>5815.3000000000011</v>
      </c>
      <c r="J87" s="1138">
        <f>SUM(J86,J79,J77,J74,J70,J66,J60,J55,J49)</f>
        <v>5730.2000000000007</v>
      </c>
      <c r="K87" s="1138">
        <f t="shared" ref="K87:L87" si="53">SUM(K86,K79,K77,K74,K70,K66,K60,K55,K49)</f>
        <v>4317</v>
      </c>
      <c r="L87" s="1138">
        <f t="shared" si="53"/>
        <v>85.1</v>
      </c>
      <c r="M87" s="1137">
        <f t="shared" ref="M87" si="54">SUM(N87,P87)</f>
        <v>6784.8</v>
      </c>
      <c r="N87" s="1138">
        <f>SUM(N86,N79,N77,N74,N70,N66,N60,N55,N49)</f>
        <v>6690.4000000000005</v>
      </c>
      <c r="O87" s="1138">
        <f t="shared" ref="O87:P87" si="55">SUM(O86,O79,O77,O74,O70,O66,O60,O55,O49)</f>
        <v>5394.9</v>
      </c>
      <c r="P87" s="1138">
        <f t="shared" si="55"/>
        <v>94.4</v>
      </c>
      <c r="Q87" s="1137">
        <f t="shared" ref="Q87" si="56">SUM(R87,T87)</f>
        <v>6835.2</v>
      </c>
      <c r="R87" s="1138">
        <f>SUM(R86,R79,R77,R74,R70,R66,R60,R55,R49)</f>
        <v>6835.2</v>
      </c>
      <c r="S87" s="1138">
        <f t="shared" ref="S87:T87" si="57">SUM(S86,S79,S77,S74,S70,S66,S60,S55,S49)</f>
        <v>5639.8</v>
      </c>
      <c r="T87" s="1138">
        <f t="shared" si="57"/>
        <v>0</v>
      </c>
      <c r="U87" s="1137">
        <f t="shared" ref="U87" si="58">SUM(V87,X87)</f>
        <v>6840</v>
      </c>
      <c r="V87" s="1138">
        <f>SUM(V86,V79,V77,V74,V70,V66,V60,V55,V49)</f>
        <v>6840</v>
      </c>
      <c r="W87" s="1138">
        <f t="shared" ref="W87:X87" si="59">SUM(W86,W79,W77,W74,W70,W66,W60,W55,W49)</f>
        <v>5646.9000000000005</v>
      </c>
      <c r="X87" s="2294">
        <f t="shared" si="59"/>
        <v>0</v>
      </c>
      <c r="Y87" s="1219"/>
      <c r="Z87" s="2435"/>
    </row>
    <row r="88" spans="1:29" ht="13.5" customHeight="1" thickBot="1" x14ac:dyDescent="0.25">
      <c r="A88" s="2420">
        <v>2</v>
      </c>
      <c r="B88" s="1105">
        <v>2</v>
      </c>
      <c r="C88" s="3189" t="s">
        <v>563</v>
      </c>
      <c r="D88" s="3190"/>
      <c r="E88" s="3190"/>
      <c r="F88" s="3190"/>
      <c r="G88" s="3190"/>
      <c r="H88" s="3190"/>
      <c r="I88" s="3190"/>
      <c r="J88" s="3190"/>
      <c r="K88" s="3190"/>
      <c r="L88" s="3190"/>
      <c r="M88" s="3190"/>
      <c r="N88" s="3190"/>
      <c r="O88" s="3190"/>
      <c r="P88" s="3190"/>
      <c r="Q88" s="3190"/>
      <c r="R88" s="3190"/>
      <c r="S88" s="3190"/>
      <c r="T88" s="3190"/>
      <c r="U88" s="3190"/>
      <c r="V88" s="3190"/>
      <c r="W88" s="3190"/>
      <c r="X88" s="3191"/>
      <c r="Y88" s="1219"/>
      <c r="Z88" s="2435"/>
    </row>
    <row r="89" spans="1:29" ht="25.9" customHeight="1" thickBot="1" x14ac:dyDescent="0.25">
      <c r="A89" s="3196">
        <v>2</v>
      </c>
      <c r="B89" s="3198">
        <v>2</v>
      </c>
      <c r="C89" s="3168">
        <v>1</v>
      </c>
      <c r="D89" s="3169" t="s">
        <v>564</v>
      </c>
      <c r="E89" s="3168">
        <v>7</v>
      </c>
      <c r="F89" s="2424" t="s">
        <v>529</v>
      </c>
      <c r="G89" s="2411" t="s">
        <v>565</v>
      </c>
      <c r="H89" s="1139" t="s">
        <v>30</v>
      </c>
      <c r="I89" s="1114">
        <f>J89+L89</f>
        <v>30</v>
      </c>
      <c r="J89" s="129">
        <v>30</v>
      </c>
      <c r="K89" s="129">
        <v>18</v>
      </c>
      <c r="L89" s="133">
        <v>0</v>
      </c>
      <c r="M89" s="1070">
        <f>SUM(N89,P89)</f>
        <v>35</v>
      </c>
      <c r="N89" s="129">
        <v>35</v>
      </c>
      <c r="O89" s="129">
        <v>25</v>
      </c>
      <c r="P89" s="133">
        <v>0</v>
      </c>
      <c r="Q89" s="1070">
        <f>SUM(R89,T89)</f>
        <v>35</v>
      </c>
      <c r="R89" s="129">
        <v>35</v>
      </c>
      <c r="S89" s="129"/>
      <c r="T89" s="133">
        <v>0</v>
      </c>
      <c r="U89" s="1070">
        <f>SUM(V89,X89)</f>
        <v>35</v>
      </c>
      <c r="V89" s="129">
        <v>35</v>
      </c>
      <c r="W89" s="129">
        <v>0</v>
      </c>
      <c r="X89" s="133">
        <v>0</v>
      </c>
      <c r="Y89" s="1219"/>
      <c r="Z89" s="2435"/>
    </row>
    <row r="90" spans="1:29" ht="20.100000000000001" customHeight="1" thickBot="1" x14ac:dyDescent="0.25">
      <c r="A90" s="3197"/>
      <c r="B90" s="3199"/>
      <c r="C90" s="3200"/>
      <c r="D90" s="3219"/>
      <c r="E90" s="3200"/>
      <c r="F90" s="3178" t="s">
        <v>35</v>
      </c>
      <c r="G90" s="3178"/>
      <c r="H90" s="3179"/>
      <c r="I90" s="1074">
        <f t="shared" ref="I90" si="60">SUM(J90,L90)</f>
        <v>30</v>
      </c>
      <c r="J90" s="1075">
        <f>SUM(J89)</f>
        <v>30</v>
      </c>
      <c r="K90" s="1075">
        <f>SUM(K89)</f>
        <v>18</v>
      </c>
      <c r="L90" s="1076">
        <f>SUM(L89)</f>
        <v>0</v>
      </c>
      <c r="M90" s="1097">
        <f t="shared" ref="M90" si="61">SUM(N90,P90)</f>
        <v>35</v>
      </c>
      <c r="N90" s="1078">
        <f>SUM(N89)</f>
        <v>35</v>
      </c>
      <c r="O90" s="1078">
        <f>SUM(O89)</f>
        <v>25</v>
      </c>
      <c r="P90" s="1076">
        <f>SUM(P89)</f>
        <v>0</v>
      </c>
      <c r="Q90" s="1097">
        <f t="shared" ref="Q90" si="62">SUM(R90,T90)</f>
        <v>35</v>
      </c>
      <c r="R90" s="1078">
        <f>SUM(R89)</f>
        <v>35</v>
      </c>
      <c r="S90" s="1078">
        <f>SUM(S89)</f>
        <v>0</v>
      </c>
      <c r="T90" s="1076">
        <f>SUM(T89)</f>
        <v>0</v>
      </c>
      <c r="U90" s="1097">
        <f t="shared" ref="U90" si="63">SUM(V90,X90)</f>
        <v>35</v>
      </c>
      <c r="V90" s="1078">
        <f>SUM(V89)</f>
        <v>35</v>
      </c>
      <c r="W90" s="1078">
        <f>SUM(W89)</f>
        <v>0</v>
      </c>
      <c r="X90" s="1076">
        <f>SUM(X89)</f>
        <v>0</v>
      </c>
      <c r="Y90" s="1219"/>
      <c r="Z90" s="2435"/>
    </row>
    <row r="91" spans="1:29" ht="27.75" customHeight="1" x14ac:dyDescent="0.2">
      <c r="A91" s="3192">
        <v>2</v>
      </c>
      <c r="B91" s="3193">
        <v>2</v>
      </c>
      <c r="C91" s="3132">
        <v>2</v>
      </c>
      <c r="D91" s="3194" t="s">
        <v>566</v>
      </c>
      <c r="E91" s="3214">
        <v>7</v>
      </c>
      <c r="F91" s="2410" t="s">
        <v>547</v>
      </c>
      <c r="G91" s="3130" t="s">
        <v>567</v>
      </c>
      <c r="H91" s="2422" t="s">
        <v>33</v>
      </c>
      <c r="I91" s="154">
        <v>922.3</v>
      </c>
      <c r="J91" s="155">
        <v>922.3</v>
      </c>
      <c r="K91" s="129"/>
      <c r="L91" s="133"/>
      <c r="M91" s="154">
        <v>904.9</v>
      </c>
      <c r="N91" s="155">
        <v>904.9</v>
      </c>
      <c r="O91" s="129"/>
      <c r="P91" s="133"/>
      <c r="Q91" s="154">
        <v>904.9</v>
      </c>
      <c r="R91" s="155">
        <v>904.9</v>
      </c>
      <c r="S91" s="129">
        <v>0</v>
      </c>
      <c r="T91" s="133">
        <v>0</v>
      </c>
      <c r="U91" s="154">
        <v>904.9</v>
      </c>
      <c r="V91" s="155">
        <v>904.9</v>
      </c>
      <c r="W91" s="129">
        <v>0</v>
      </c>
      <c r="X91" s="133">
        <v>0</v>
      </c>
      <c r="Y91" s="1219"/>
      <c r="Z91" s="2435"/>
    </row>
    <row r="92" spans="1:29" ht="27.75" customHeight="1" thickBot="1" x14ac:dyDescent="0.25">
      <c r="A92" s="3192"/>
      <c r="B92" s="3193"/>
      <c r="C92" s="3132"/>
      <c r="D92" s="3194"/>
      <c r="E92" s="3214"/>
      <c r="F92" s="2414" t="s">
        <v>529</v>
      </c>
      <c r="G92" s="3132"/>
      <c r="H92" s="2426" t="s">
        <v>30</v>
      </c>
      <c r="I92" s="156">
        <v>547.5</v>
      </c>
      <c r="J92" s="149">
        <v>547.5</v>
      </c>
      <c r="K92" s="149">
        <v>0</v>
      </c>
      <c r="L92" s="150">
        <v>0</v>
      </c>
      <c r="M92" s="156">
        <f>N92+P92</f>
        <v>626</v>
      </c>
      <c r="N92" s="149">
        <v>626</v>
      </c>
      <c r="O92" s="149">
        <v>0</v>
      </c>
      <c r="P92" s="150">
        <v>0</v>
      </c>
      <c r="Q92" s="156">
        <f>R92+T92</f>
        <v>626</v>
      </c>
      <c r="R92" s="149">
        <v>626</v>
      </c>
      <c r="S92" s="149">
        <v>0</v>
      </c>
      <c r="T92" s="150">
        <v>0</v>
      </c>
      <c r="U92" s="156">
        <v>626</v>
      </c>
      <c r="V92" s="149">
        <v>626</v>
      </c>
      <c r="W92" s="149">
        <v>0</v>
      </c>
      <c r="X92" s="150">
        <v>0</v>
      </c>
      <c r="Y92" s="1219"/>
      <c r="Z92" s="2435"/>
    </row>
    <row r="93" spans="1:29" ht="29.25" customHeight="1" thickBot="1" x14ac:dyDescent="0.25">
      <c r="A93" s="3197"/>
      <c r="B93" s="3199"/>
      <c r="C93" s="3200"/>
      <c r="D93" s="3219"/>
      <c r="E93" s="3231"/>
      <c r="F93" s="3177" t="s">
        <v>35</v>
      </c>
      <c r="G93" s="3178"/>
      <c r="H93" s="3179"/>
      <c r="I93" s="1074">
        <f>SUM(J93,L93)</f>
        <v>1469.8</v>
      </c>
      <c r="J93" s="1075">
        <f>SUM(J91:J92)</f>
        <v>1469.8</v>
      </c>
      <c r="K93" s="1075">
        <f>SUM(K91:K92)</f>
        <v>0</v>
      </c>
      <c r="L93" s="1076">
        <f>SUM(L91:L92)</f>
        <v>0</v>
      </c>
      <c r="M93" s="1097">
        <f>SUM(N93,P93)</f>
        <v>1530.9</v>
      </c>
      <c r="N93" s="1075">
        <f>SUM(N91:N92)</f>
        <v>1530.9</v>
      </c>
      <c r="O93" s="1075">
        <f>SUM(O91:O92)</f>
        <v>0</v>
      </c>
      <c r="P93" s="1076">
        <f>SUM(P91:P92)</f>
        <v>0</v>
      </c>
      <c r="Q93" s="1097">
        <f>SUM(R93,T93)</f>
        <v>1530.9</v>
      </c>
      <c r="R93" s="1075">
        <f>SUM(R91:R92)</f>
        <v>1530.9</v>
      </c>
      <c r="S93" s="1075">
        <f>SUM(S91:S92)</f>
        <v>0</v>
      </c>
      <c r="T93" s="1076">
        <f>SUM(T91:T92)</f>
        <v>0</v>
      </c>
      <c r="U93" s="1097">
        <f>SUM(V93,X93)</f>
        <v>1530.9</v>
      </c>
      <c r="V93" s="1075">
        <f>SUM(V91:V92)</f>
        <v>1530.9</v>
      </c>
      <c r="W93" s="1075">
        <f>SUM(W91:W92)</f>
        <v>0</v>
      </c>
      <c r="X93" s="1076">
        <f>SUM(X91:X92)</f>
        <v>0</v>
      </c>
      <c r="Y93" s="1219"/>
      <c r="Z93" s="2435"/>
    </row>
    <row r="94" spans="1:29" ht="19.5" customHeight="1" x14ac:dyDescent="0.2">
      <c r="A94" s="3196">
        <v>2</v>
      </c>
      <c r="B94" s="3198">
        <v>2</v>
      </c>
      <c r="C94" s="3168">
        <v>3</v>
      </c>
      <c r="D94" s="3169" t="s">
        <v>568</v>
      </c>
      <c r="E94" s="3225">
        <v>8</v>
      </c>
      <c r="F94" s="3130" t="s">
        <v>529</v>
      </c>
      <c r="G94" s="3130" t="s">
        <v>569</v>
      </c>
      <c r="H94" s="2422" t="s">
        <v>509</v>
      </c>
      <c r="I94" s="1070">
        <f t="shared" ref="I94:I95" si="64">SUM(J94,L94)</f>
        <v>89.9</v>
      </c>
      <c r="J94" s="129">
        <v>89.9</v>
      </c>
      <c r="K94" s="129">
        <v>0</v>
      </c>
      <c r="L94" s="133">
        <v>0</v>
      </c>
      <c r="M94" s="1070">
        <f t="shared" ref="M94:M95" si="65">SUM(N94,P94)</f>
        <v>109</v>
      </c>
      <c r="N94" s="129">
        <v>109</v>
      </c>
      <c r="O94" s="129">
        <v>0</v>
      </c>
      <c r="P94" s="133">
        <v>0</v>
      </c>
      <c r="Q94" s="1070">
        <f>SUM(R94,T94)</f>
        <v>109</v>
      </c>
      <c r="R94" s="129">
        <v>109</v>
      </c>
      <c r="S94" s="129">
        <v>0</v>
      </c>
      <c r="T94" s="133">
        <v>0</v>
      </c>
      <c r="U94" s="1070">
        <f>SUM(V94,X94)</f>
        <v>109</v>
      </c>
      <c r="V94" s="129">
        <v>109</v>
      </c>
      <c r="W94" s="129">
        <v>0</v>
      </c>
      <c r="X94" s="133">
        <v>0</v>
      </c>
      <c r="Y94" s="1219"/>
      <c r="Z94" s="2435"/>
    </row>
    <row r="95" spans="1:29" ht="19.5" customHeight="1" thickBot="1" x14ac:dyDescent="0.25">
      <c r="A95" s="3192"/>
      <c r="B95" s="3193"/>
      <c r="C95" s="3132"/>
      <c r="D95" s="3194"/>
      <c r="E95" s="3214"/>
      <c r="F95" s="3132"/>
      <c r="G95" s="3132"/>
      <c r="H95" s="2426" t="s">
        <v>30</v>
      </c>
      <c r="I95" s="1071">
        <f t="shared" si="64"/>
        <v>65</v>
      </c>
      <c r="J95" s="149">
        <v>65</v>
      </c>
      <c r="K95" s="149">
        <v>0</v>
      </c>
      <c r="L95" s="150">
        <v>0</v>
      </c>
      <c r="M95" s="1071">
        <f t="shared" si="65"/>
        <v>60</v>
      </c>
      <c r="N95" s="149">
        <v>60</v>
      </c>
      <c r="O95" s="149">
        <v>0</v>
      </c>
      <c r="P95" s="150">
        <v>0</v>
      </c>
      <c r="Q95" s="1071">
        <f>SUM(R95,T95)</f>
        <v>60</v>
      </c>
      <c r="R95" s="149">
        <v>60</v>
      </c>
      <c r="S95" s="149">
        <v>0</v>
      </c>
      <c r="T95" s="150">
        <v>0</v>
      </c>
      <c r="U95" s="1071">
        <f>SUM(V95,X95)</f>
        <v>60</v>
      </c>
      <c r="V95" s="149">
        <v>60</v>
      </c>
      <c r="W95" s="149">
        <v>0</v>
      </c>
      <c r="X95" s="150">
        <v>0</v>
      </c>
      <c r="Y95" s="1219"/>
      <c r="Z95" s="2435"/>
    </row>
    <row r="96" spans="1:29" ht="17.25" customHeight="1" thickBot="1" x14ac:dyDescent="0.25">
      <c r="A96" s="3192"/>
      <c r="B96" s="3193"/>
      <c r="C96" s="3132"/>
      <c r="D96" s="3219"/>
      <c r="E96" s="3231"/>
      <c r="F96" s="3177" t="s">
        <v>35</v>
      </c>
      <c r="G96" s="3178"/>
      <c r="H96" s="3179"/>
      <c r="I96" s="1140">
        <f>SUM(J96,L96)</f>
        <v>154.9</v>
      </c>
      <c r="J96" s="1079">
        <f>SUM(J94:J95)</f>
        <v>154.9</v>
      </c>
      <c r="K96" s="1079">
        <f>SUM(K94:K95)</f>
        <v>0</v>
      </c>
      <c r="L96" s="1141">
        <f>SUM(L94:L95)</f>
        <v>0</v>
      </c>
      <c r="M96" s="1142">
        <f>SUM(N96,P96)</f>
        <v>169</v>
      </c>
      <c r="N96" s="1079">
        <f>SUM(N94:N95)</f>
        <v>169</v>
      </c>
      <c r="O96" s="1079">
        <f>SUM(O94:O95)</f>
        <v>0</v>
      </c>
      <c r="P96" s="1141">
        <f>SUM(P94:P95)</f>
        <v>0</v>
      </c>
      <c r="Q96" s="1142">
        <f>SUM(R96,T96)</f>
        <v>169</v>
      </c>
      <c r="R96" s="1079">
        <f>SUM(R94:R95)</f>
        <v>169</v>
      </c>
      <c r="S96" s="1079">
        <f>SUM(S94:S95)</f>
        <v>0</v>
      </c>
      <c r="T96" s="1141">
        <f>SUM(T94:T95)</f>
        <v>0</v>
      </c>
      <c r="U96" s="1142">
        <f>SUM(V96,X96)</f>
        <v>169</v>
      </c>
      <c r="V96" s="1079">
        <f>SUM(V94:V95)</f>
        <v>169</v>
      </c>
      <c r="W96" s="1079">
        <f>SUM(W94:W95)</f>
        <v>0</v>
      </c>
      <c r="X96" s="1141">
        <f>SUM(X94:X95)</f>
        <v>0</v>
      </c>
      <c r="Y96" s="1219"/>
      <c r="Z96" s="2435"/>
    </row>
    <row r="97" spans="1:28" ht="26.25" customHeight="1" thickBot="1" x14ac:dyDescent="0.25">
      <c r="A97" s="3196">
        <v>2</v>
      </c>
      <c r="B97" s="3198">
        <v>2</v>
      </c>
      <c r="C97" s="3168">
        <v>4</v>
      </c>
      <c r="D97" s="3229" t="s">
        <v>570</v>
      </c>
      <c r="E97" s="3225">
        <v>7</v>
      </c>
      <c r="F97" s="1099" t="s">
        <v>529</v>
      </c>
      <c r="G97" s="1099" t="s">
        <v>571</v>
      </c>
      <c r="H97" s="1139" t="s">
        <v>111</v>
      </c>
      <c r="I97" s="1070">
        <v>170.1</v>
      </c>
      <c r="J97" s="129">
        <v>170.1</v>
      </c>
      <c r="K97" s="129">
        <v>0</v>
      </c>
      <c r="L97" s="133">
        <v>0</v>
      </c>
      <c r="M97" s="1070">
        <v>140</v>
      </c>
      <c r="N97" s="129">
        <v>140</v>
      </c>
      <c r="O97" s="129">
        <v>0</v>
      </c>
      <c r="P97" s="133">
        <v>0</v>
      </c>
      <c r="Q97" s="1070">
        <v>0</v>
      </c>
      <c r="R97" s="129">
        <v>0</v>
      </c>
      <c r="S97" s="129">
        <v>0</v>
      </c>
      <c r="T97" s="133">
        <v>0</v>
      </c>
      <c r="U97" s="1070">
        <v>0</v>
      </c>
      <c r="V97" s="129">
        <v>0</v>
      </c>
      <c r="W97" s="129">
        <v>0</v>
      </c>
      <c r="X97" s="133">
        <v>0</v>
      </c>
      <c r="Y97" s="1219"/>
      <c r="Z97" s="2435"/>
    </row>
    <row r="98" spans="1:28" ht="26.25" customHeight="1" thickBot="1" x14ac:dyDescent="0.25">
      <c r="A98" s="3197"/>
      <c r="B98" s="3199"/>
      <c r="C98" s="3200"/>
      <c r="D98" s="3230"/>
      <c r="E98" s="3231"/>
      <c r="F98" s="3177" t="s">
        <v>35</v>
      </c>
      <c r="G98" s="3178"/>
      <c r="H98" s="3179"/>
      <c r="I98" s="1074">
        <f t="shared" ref="I98" si="66">SUM(J98,L98)</f>
        <v>170.1</v>
      </c>
      <c r="J98" s="1075">
        <f>SUM(J97)</f>
        <v>170.1</v>
      </c>
      <c r="K98" s="1075">
        <f>SUM(K97)</f>
        <v>0</v>
      </c>
      <c r="L98" s="1076">
        <f>SUM(L97)</f>
        <v>0</v>
      </c>
      <c r="M98" s="1097">
        <f t="shared" ref="M98" si="67">SUM(N98,P98)</f>
        <v>140</v>
      </c>
      <c r="N98" s="1078">
        <f>SUM(N97)</f>
        <v>140</v>
      </c>
      <c r="O98" s="1078">
        <f>SUM(O97)</f>
        <v>0</v>
      </c>
      <c r="P98" s="1076">
        <f>SUM(P97)</f>
        <v>0</v>
      </c>
      <c r="Q98" s="1097">
        <f t="shared" ref="Q98" si="68">SUM(R98,T98)</f>
        <v>0</v>
      </c>
      <c r="R98" s="1078">
        <f>SUM(R97)</f>
        <v>0</v>
      </c>
      <c r="S98" s="1078">
        <f>SUM(S97)</f>
        <v>0</v>
      </c>
      <c r="T98" s="1076">
        <f>SUM(T97)</f>
        <v>0</v>
      </c>
      <c r="U98" s="1097">
        <f t="shared" ref="U98" si="69">SUM(V98,X98)</f>
        <v>0</v>
      </c>
      <c r="V98" s="1078">
        <f>SUM(V97)</f>
        <v>0</v>
      </c>
      <c r="W98" s="1078">
        <f>SUM(W97)</f>
        <v>0</v>
      </c>
      <c r="X98" s="1076">
        <f>SUM(X97)</f>
        <v>0</v>
      </c>
      <c r="Y98" s="1219"/>
      <c r="Z98" s="2435"/>
    </row>
    <row r="99" spans="1:28" ht="21.75" hidden="1" customHeight="1" thickBot="1" x14ac:dyDescent="0.25">
      <c r="A99" s="3192"/>
      <c r="B99" s="3193"/>
      <c r="C99" s="3132"/>
      <c r="D99" s="3219"/>
      <c r="E99" s="3200"/>
      <c r="F99" s="1086"/>
      <c r="G99" s="1086"/>
      <c r="H99" s="1139"/>
      <c r="I99" s="1071"/>
      <c r="J99" s="130"/>
      <c r="K99" s="130"/>
      <c r="L99" s="151"/>
      <c r="M99" s="1071"/>
      <c r="N99" s="130"/>
      <c r="O99" s="130"/>
      <c r="P99" s="151"/>
      <c r="Q99" s="1071"/>
      <c r="R99" s="130"/>
      <c r="S99" s="130"/>
      <c r="T99" s="151"/>
      <c r="U99" s="1071"/>
      <c r="V99" s="130"/>
      <c r="W99" s="130"/>
      <c r="X99" s="151"/>
      <c r="Y99" s="1219"/>
      <c r="Z99" s="2435"/>
    </row>
    <row r="100" spans="1:28" ht="29.25" hidden="1" customHeight="1" thickBot="1" x14ac:dyDescent="0.25">
      <c r="A100" s="3192"/>
      <c r="B100" s="3193"/>
      <c r="C100" s="3132"/>
      <c r="D100" s="3169"/>
      <c r="E100" s="3225"/>
      <c r="F100" s="3226"/>
      <c r="G100" s="3227"/>
      <c r="H100" s="3228"/>
      <c r="I100" s="1140"/>
      <c r="J100" s="1079"/>
      <c r="K100" s="1079"/>
      <c r="L100" s="1141"/>
      <c r="M100" s="1142"/>
      <c r="N100" s="1080"/>
      <c r="O100" s="1080"/>
      <c r="P100" s="1141"/>
      <c r="Q100" s="1142"/>
      <c r="R100" s="1080"/>
      <c r="S100" s="1080"/>
      <c r="T100" s="1141"/>
      <c r="U100" s="1142"/>
      <c r="V100" s="1080"/>
      <c r="W100" s="1080"/>
      <c r="X100" s="1141"/>
      <c r="Y100" s="1219"/>
      <c r="Z100" s="2435"/>
    </row>
    <row r="101" spans="1:28" ht="34.5" customHeight="1" thickBot="1" x14ac:dyDescent="0.25">
      <c r="A101" s="3220">
        <v>2</v>
      </c>
      <c r="B101" s="3221">
        <v>2</v>
      </c>
      <c r="C101" s="3130">
        <v>5</v>
      </c>
      <c r="D101" s="3222" t="s">
        <v>572</v>
      </c>
      <c r="E101" s="3223">
        <v>8</v>
      </c>
      <c r="F101" s="1099" t="s">
        <v>529</v>
      </c>
      <c r="G101" s="1099" t="s">
        <v>573</v>
      </c>
      <c r="H101" s="1143" t="s">
        <v>30</v>
      </c>
      <c r="I101" s="138">
        <f>SUM(J101,L101)</f>
        <v>25</v>
      </c>
      <c r="J101" s="129">
        <v>25</v>
      </c>
      <c r="K101" s="129">
        <v>0</v>
      </c>
      <c r="L101" s="133"/>
      <c r="M101" s="129">
        <f>SUM(N101,P101)</f>
        <v>25</v>
      </c>
      <c r="N101" s="129">
        <v>25</v>
      </c>
      <c r="O101" s="129"/>
      <c r="P101" s="133"/>
      <c r="Q101" s="129">
        <f>SUM(R101,T101)</f>
        <v>25</v>
      </c>
      <c r="R101" s="129">
        <v>25</v>
      </c>
      <c r="S101" s="129">
        <v>0</v>
      </c>
      <c r="T101" s="133"/>
      <c r="U101" s="129">
        <f>SUM(V101,X101)</f>
        <v>25</v>
      </c>
      <c r="V101" s="129">
        <v>25</v>
      </c>
      <c r="W101" s="129">
        <v>0</v>
      </c>
      <c r="X101" s="133"/>
      <c r="Y101" s="1219"/>
      <c r="Z101" s="2435"/>
      <c r="AA101" s="134"/>
      <c r="AB101" s="134"/>
    </row>
    <row r="102" spans="1:28" ht="18.75" customHeight="1" thickBot="1" x14ac:dyDescent="0.25">
      <c r="A102" s="3197"/>
      <c r="B102" s="3199"/>
      <c r="C102" s="3200"/>
      <c r="D102" s="3136"/>
      <c r="E102" s="3224"/>
      <c r="F102" s="3203" t="s">
        <v>35</v>
      </c>
      <c r="G102" s="3204"/>
      <c r="H102" s="3205"/>
      <c r="I102" s="1074">
        <f t="shared" ref="I102" si="70">SUM(J102,L102)</f>
        <v>25</v>
      </c>
      <c r="J102" s="1075">
        <f>SUM(J101)</f>
        <v>25</v>
      </c>
      <c r="K102" s="1075">
        <f>SUM(K101)</f>
        <v>0</v>
      </c>
      <c r="L102" s="1076">
        <f>SUM(L101)</f>
        <v>0</v>
      </c>
      <c r="M102" s="1097">
        <f t="shared" ref="M102" si="71">SUM(N102,P102)</f>
        <v>25</v>
      </c>
      <c r="N102" s="1078">
        <f>SUM(N101)</f>
        <v>25</v>
      </c>
      <c r="O102" s="1078">
        <f>SUM(O101)</f>
        <v>0</v>
      </c>
      <c r="P102" s="1076"/>
      <c r="Q102" s="1097">
        <f t="shared" ref="Q102" si="72">SUM(R102,T102)</f>
        <v>25</v>
      </c>
      <c r="R102" s="1078">
        <f>SUM(R101)</f>
        <v>25</v>
      </c>
      <c r="S102" s="1078">
        <f>SUM(S101)</f>
        <v>0</v>
      </c>
      <c r="T102" s="1076"/>
      <c r="U102" s="1097">
        <f t="shared" ref="U102" si="73">SUM(V102,X102)</f>
        <v>25</v>
      </c>
      <c r="V102" s="1078">
        <f>SUM(V101)</f>
        <v>25</v>
      </c>
      <c r="W102" s="1078">
        <f>SUM(W101)</f>
        <v>0</v>
      </c>
      <c r="X102" s="1076"/>
      <c r="Y102" s="1219"/>
      <c r="Z102" s="2435"/>
    </row>
    <row r="103" spans="1:28" ht="34.9" customHeight="1" thickBot="1" x14ac:dyDescent="0.25">
      <c r="A103" s="3192">
        <v>2</v>
      </c>
      <c r="B103" s="3193">
        <v>2</v>
      </c>
      <c r="C103" s="3132">
        <v>6</v>
      </c>
      <c r="D103" s="3169" t="s">
        <v>574</v>
      </c>
      <c r="E103" s="3200">
        <v>8</v>
      </c>
      <c r="F103" s="2410" t="s">
        <v>529</v>
      </c>
      <c r="G103" s="2410" t="s">
        <v>575</v>
      </c>
      <c r="H103" s="1143" t="s">
        <v>30</v>
      </c>
      <c r="I103" s="129">
        <v>0.4</v>
      </c>
      <c r="J103" s="129">
        <v>0.4</v>
      </c>
      <c r="K103" s="129"/>
      <c r="L103" s="133"/>
      <c r="M103" s="129">
        <v>2</v>
      </c>
      <c r="N103" s="129">
        <v>2</v>
      </c>
      <c r="O103" s="129"/>
      <c r="P103" s="133"/>
      <c r="Q103" s="129">
        <v>2</v>
      </c>
      <c r="R103" s="129">
        <v>2</v>
      </c>
      <c r="S103" s="129"/>
      <c r="T103" s="133"/>
      <c r="U103" s="129">
        <v>2</v>
      </c>
      <c r="V103" s="129">
        <v>2</v>
      </c>
      <c r="W103" s="129"/>
      <c r="X103" s="133"/>
      <c r="Y103" s="1219"/>
      <c r="Z103" s="2435"/>
      <c r="AA103" s="134"/>
      <c r="AB103" s="134"/>
    </row>
    <row r="104" spans="1:28" ht="18" customHeight="1" thickBot="1" x14ac:dyDescent="0.25">
      <c r="A104" s="3197"/>
      <c r="B104" s="3199"/>
      <c r="C104" s="3132"/>
      <c r="D104" s="3219"/>
      <c r="E104" s="3218"/>
      <c r="F104" s="3217" t="s">
        <v>35</v>
      </c>
      <c r="G104" s="3204"/>
      <c r="H104" s="3205"/>
      <c r="I104" s="1074">
        <f t="shared" ref="I104" si="74">SUM(J104,L104)</f>
        <v>0.4</v>
      </c>
      <c r="J104" s="1075">
        <f>SUM(J103)</f>
        <v>0.4</v>
      </c>
      <c r="K104" s="1075">
        <f>SUM(K103)</f>
        <v>0</v>
      </c>
      <c r="L104" s="1076">
        <f>SUM(L103)</f>
        <v>0</v>
      </c>
      <c r="M104" s="1142">
        <f t="shared" ref="M104" si="75">SUM(N104,P104)</f>
        <v>2</v>
      </c>
      <c r="N104" s="1080">
        <f>SUM(N103)</f>
        <v>2</v>
      </c>
      <c r="O104" s="1080">
        <f>SUM(O103)</f>
        <v>0</v>
      </c>
      <c r="P104" s="1141"/>
      <c r="Q104" s="1097">
        <f t="shared" ref="Q104" si="76">SUM(R104,T104)</f>
        <v>2</v>
      </c>
      <c r="R104" s="1078">
        <f>SUM(R103)</f>
        <v>2</v>
      </c>
      <c r="S104" s="1078">
        <f>SUM(S103)</f>
        <v>0</v>
      </c>
      <c r="T104" s="1076"/>
      <c r="U104" s="1097">
        <f t="shared" ref="U104" si="77">SUM(V104,X104)</f>
        <v>2</v>
      </c>
      <c r="V104" s="1078">
        <f>SUM(V103)</f>
        <v>2</v>
      </c>
      <c r="W104" s="1078">
        <f>SUM(W103)</f>
        <v>0</v>
      </c>
      <c r="X104" s="1076"/>
      <c r="Y104" s="1219"/>
      <c r="Z104" s="2435"/>
    </row>
    <row r="105" spans="1:28" ht="19.5" customHeight="1" x14ac:dyDescent="0.2">
      <c r="A105" s="3196">
        <v>2</v>
      </c>
      <c r="B105" s="3198">
        <v>2</v>
      </c>
      <c r="C105" s="3168">
        <v>7</v>
      </c>
      <c r="D105" s="2503" t="s">
        <v>576</v>
      </c>
      <c r="E105" s="3167">
        <v>7</v>
      </c>
      <c r="F105" s="1144" t="s">
        <v>529</v>
      </c>
      <c r="G105" s="3130" t="s">
        <v>577</v>
      </c>
      <c r="H105" s="1145" t="s">
        <v>30</v>
      </c>
      <c r="I105" s="129">
        <v>0</v>
      </c>
      <c r="J105" s="129">
        <v>0</v>
      </c>
      <c r="K105" s="129"/>
      <c r="L105" s="133"/>
      <c r="M105" s="1114">
        <v>60</v>
      </c>
      <c r="N105" s="129">
        <v>60</v>
      </c>
      <c r="O105" s="1545"/>
      <c r="P105" s="133"/>
      <c r="Q105" s="129">
        <v>60</v>
      </c>
      <c r="R105" s="129">
        <v>60</v>
      </c>
      <c r="S105" s="129"/>
      <c r="T105" s="133"/>
      <c r="U105" s="129">
        <v>60</v>
      </c>
      <c r="V105" s="129">
        <v>60</v>
      </c>
      <c r="W105" s="129"/>
      <c r="X105" s="133"/>
      <c r="Y105" s="1219"/>
      <c r="Z105" s="2435"/>
    </row>
    <row r="106" spans="1:28" ht="17.25" customHeight="1" thickBot="1" x14ac:dyDescent="0.25">
      <c r="A106" s="3192"/>
      <c r="B106" s="3193"/>
      <c r="C106" s="3132"/>
      <c r="D106" s="2504"/>
      <c r="E106" s="3218"/>
      <c r="F106" s="1146" t="s">
        <v>578</v>
      </c>
      <c r="G106" s="3131"/>
      <c r="H106" s="1139" t="s">
        <v>33</v>
      </c>
      <c r="I106" s="1095"/>
      <c r="J106" s="152"/>
      <c r="K106" s="152"/>
      <c r="L106" s="153"/>
      <c r="M106" s="2436">
        <v>33.700000000000003</v>
      </c>
      <c r="N106" s="1096">
        <v>33.700000000000003</v>
      </c>
      <c r="O106" s="2015">
        <v>29.5</v>
      </c>
      <c r="P106" s="153"/>
      <c r="Q106" s="2293">
        <v>33.700000000000003</v>
      </c>
      <c r="R106" s="1096">
        <v>33.700000000000003</v>
      </c>
      <c r="S106" s="1096">
        <v>29.5</v>
      </c>
      <c r="T106" s="153"/>
      <c r="U106" s="2293">
        <v>33.700000000000003</v>
      </c>
      <c r="V106" s="1096">
        <v>33.700000000000003</v>
      </c>
      <c r="W106" s="1096">
        <v>29.5</v>
      </c>
      <c r="X106" s="153"/>
      <c r="Y106" s="1219"/>
      <c r="Z106" s="2435"/>
    </row>
    <row r="107" spans="1:28" ht="15" customHeight="1" thickBot="1" x14ac:dyDescent="0.25">
      <c r="A107" s="3197"/>
      <c r="B107" s="3199"/>
      <c r="C107" s="3200"/>
      <c r="D107" s="2505"/>
      <c r="E107" s="3218"/>
      <c r="F107" s="3217" t="s">
        <v>35</v>
      </c>
      <c r="G107" s="3204"/>
      <c r="H107" s="3205"/>
      <c r="I107" s="1074">
        <f t="shared" ref="I107" si="78">SUM(J107,L107)</f>
        <v>0</v>
      </c>
      <c r="J107" s="1075">
        <f>SUM(J105)</f>
        <v>0</v>
      </c>
      <c r="K107" s="1075">
        <f>SUM(K105)</f>
        <v>0</v>
      </c>
      <c r="L107" s="1076">
        <f>SUM(L105)</f>
        <v>0</v>
      </c>
      <c r="M107" s="1097">
        <f t="shared" ref="M107" si="79">SUM(N107,P107)</f>
        <v>93.7</v>
      </c>
      <c r="N107" s="1078">
        <f>SUM(N105+N106)</f>
        <v>93.7</v>
      </c>
      <c r="O107" s="1078">
        <f>SUM(O105+O106)</f>
        <v>29.5</v>
      </c>
      <c r="P107" s="1076"/>
      <c r="Q107" s="1097">
        <f t="shared" ref="Q107" si="80">SUM(R107,T107)</f>
        <v>93.7</v>
      </c>
      <c r="R107" s="1078">
        <f>SUM(R105+R106)</f>
        <v>93.7</v>
      </c>
      <c r="S107" s="1078">
        <f>SUM(S105+S106)</f>
        <v>29.5</v>
      </c>
      <c r="T107" s="1076"/>
      <c r="U107" s="1097">
        <f t="shared" ref="U107" si="81">SUM(V107,X107)</f>
        <v>93.7</v>
      </c>
      <c r="V107" s="1078">
        <f>SUM(V105+V106)</f>
        <v>93.7</v>
      </c>
      <c r="W107" s="1078">
        <f>SUM(W105+W106)</f>
        <v>29.5</v>
      </c>
      <c r="X107" s="1076"/>
      <c r="Y107" s="1219"/>
      <c r="Z107" s="2435"/>
    </row>
    <row r="108" spans="1:28" ht="26.25" customHeight="1" x14ac:dyDescent="0.2">
      <c r="A108" s="3192">
        <v>2</v>
      </c>
      <c r="B108" s="3193">
        <v>2</v>
      </c>
      <c r="C108" s="3132">
        <v>8</v>
      </c>
      <c r="D108" s="3159" t="s">
        <v>579</v>
      </c>
      <c r="E108" s="3200">
        <v>7</v>
      </c>
      <c r="F108" s="3130" t="s">
        <v>580</v>
      </c>
      <c r="G108" s="3130" t="s">
        <v>581</v>
      </c>
      <c r="H108" s="1145" t="s">
        <v>509</v>
      </c>
      <c r="I108" s="129">
        <f>J108+L108</f>
        <v>35.299999999999997</v>
      </c>
      <c r="J108" s="129">
        <v>35.299999999999997</v>
      </c>
      <c r="K108" s="129"/>
      <c r="L108" s="133"/>
      <c r="M108" s="129"/>
      <c r="N108" s="129"/>
      <c r="O108" s="129"/>
      <c r="P108" s="133"/>
      <c r="Q108" s="129"/>
      <c r="R108" s="129"/>
      <c r="S108" s="129"/>
      <c r="T108" s="133"/>
      <c r="U108" s="129"/>
      <c r="V108" s="129"/>
      <c r="W108" s="129"/>
      <c r="X108" s="133"/>
      <c r="Y108" s="1219"/>
      <c r="Z108" s="2435"/>
    </row>
    <row r="109" spans="1:28" ht="26.25" customHeight="1" x14ac:dyDescent="0.2">
      <c r="A109" s="3192"/>
      <c r="B109" s="3193"/>
      <c r="C109" s="3132"/>
      <c r="D109" s="3159"/>
      <c r="E109" s="3214"/>
      <c r="F109" s="3132"/>
      <c r="G109" s="3132"/>
      <c r="H109" s="2371" t="s">
        <v>33</v>
      </c>
      <c r="I109" s="2372"/>
      <c r="J109" s="131"/>
      <c r="K109" s="131"/>
      <c r="L109" s="137"/>
      <c r="M109" s="2373">
        <f>N109+P109</f>
        <v>158.4</v>
      </c>
      <c r="N109" s="136">
        <f>161.6-3.2</f>
        <v>158.4</v>
      </c>
      <c r="O109" s="136"/>
      <c r="P109" s="137"/>
      <c r="Q109" s="2373">
        <f>R109+T109</f>
        <v>158.4</v>
      </c>
      <c r="R109" s="136">
        <f>161.6-3.2</f>
        <v>158.4</v>
      </c>
      <c r="S109" s="136"/>
      <c r="T109" s="137"/>
      <c r="U109" s="2373">
        <f>V109+X109</f>
        <v>158.4</v>
      </c>
      <c r="V109" s="136">
        <f>161.6-3.2</f>
        <v>158.4</v>
      </c>
      <c r="W109" s="136"/>
      <c r="X109" s="137"/>
      <c r="Y109" s="1219"/>
      <c r="Z109" s="2435"/>
    </row>
    <row r="110" spans="1:28" ht="20.25" customHeight="1" thickBot="1" x14ac:dyDescent="0.25">
      <c r="A110" s="3192"/>
      <c r="B110" s="3193"/>
      <c r="C110" s="3132"/>
      <c r="D110" s="3159"/>
      <c r="E110" s="3214"/>
      <c r="F110" s="3131"/>
      <c r="G110" s="3131"/>
      <c r="H110" s="1139" t="s">
        <v>30</v>
      </c>
      <c r="I110" s="1095"/>
      <c r="J110" s="152"/>
      <c r="K110" s="152"/>
      <c r="L110" s="153"/>
      <c r="M110" s="2293">
        <v>20</v>
      </c>
      <c r="N110" s="1096">
        <v>20</v>
      </c>
      <c r="O110" s="1096"/>
      <c r="P110" s="153"/>
      <c r="Q110" s="2293">
        <v>20</v>
      </c>
      <c r="R110" s="1096">
        <v>20</v>
      </c>
      <c r="S110" s="1096"/>
      <c r="T110" s="153"/>
      <c r="U110" s="2293">
        <v>20</v>
      </c>
      <c r="V110" s="1096">
        <v>20</v>
      </c>
      <c r="W110" s="1096"/>
      <c r="X110" s="153"/>
      <c r="Y110" s="1219"/>
      <c r="Z110" s="2435"/>
    </row>
    <row r="111" spans="1:28" ht="14.25" customHeight="1" thickBot="1" x14ac:dyDescent="0.25">
      <c r="A111" s="3197"/>
      <c r="B111" s="3199"/>
      <c r="C111" s="3131"/>
      <c r="D111" s="3215"/>
      <c r="E111" s="3216"/>
      <c r="F111" s="3217" t="s">
        <v>35</v>
      </c>
      <c r="G111" s="3204"/>
      <c r="H111" s="3205"/>
      <c r="I111" s="1074">
        <f t="shared" ref="I111:I112" si="82">SUM(J111,L111)</f>
        <v>35.299999999999997</v>
      </c>
      <c r="J111" s="1075">
        <f>SUM(J108:J110)</f>
        <v>35.299999999999997</v>
      </c>
      <c r="K111" s="1075">
        <f t="shared" ref="K111:L111" si="83">SUM(K108:K110)</f>
        <v>0</v>
      </c>
      <c r="L111" s="1076">
        <f t="shared" si="83"/>
        <v>0</v>
      </c>
      <c r="M111" s="1097">
        <f t="shared" ref="M111:M112" si="84">SUM(N111,P111)</f>
        <v>178.4</v>
      </c>
      <c r="N111" s="1075">
        <f>SUM(N108:N110)</f>
        <v>178.4</v>
      </c>
      <c r="O111" s="1075">
        <f t="shared" ref="O111" si="85">SUM(O108:O110)</f>
        <v>0</v>
      </c>
      <c r="P111" s="1076">
        <f t="shared" ref="P111" si="86">SUM(P108:P110)</f>
        <v>0</v>
      </c>
      <c r="Q111" s="1097">
        <f t="shared" ref="Q111:Q112" si="87">SUM(R111,T111)</f>
        <v>178.4</v>
      </c>
      <c r="R111" s="1075">
        <f>SUM(R108:R110)</f>
        <v>178.4</v>
      </c>
      <c r="S111" s="1075">
        <f t="shared" ref="S111" si="88">SUM(S108:S110)</f>
        <v>0</v>
      </c>
      <c r="T111" s="1076">
        <f t="shared" ref="T111" si="89">SUM(T108:T110)</f>
        <v>0</v>
      </c>
      <c r="U111" s="1097">
        <f t="shared" ref="U111:U112" si="90">SUM(V111,X111)</f>
        <v>178.4</v>
      </c>
      <c r="V111" s="1075">
        <f>SUM(V108:V110)</f>
        <v>178.4</v>
      </c>
      <c r="W111" s="1075">
        <f t="shared" ref="W111" si="91">SUM(W108:W110)</f>
        <v>0</v>
      </c>
      <c r="X111" s="1076">
        <f t="shared" ref="X111" si="92">SUM(X108:X110)</f>
        <v>0</v>
      </c>
      <c r="Y111" s="1219"/>
      <c r="Z111" s="2435"/>
    </row>
    <row r="112" spans="1:28" ht="13.15" customHeight="1" thickBot="1" x14ac:dyDescent="0.25">
      <c r="A112" s="1147">
        <v>1</v>
      </c>
      <c r="B112" s="1148">
        <v>2</v>
      </c>
      <c r="C112" s="3209" t="s">
        <v>234</v>
      </c>
      <c r="D112" s="3210"/>
      <c r="E112" s="3210"/>
      <c r="F112" s="3210"/>
      <c r="G112" s="3210"/>
      <c r="H112" s="3211"/>
      <c r="I112" s="1149">
        <f t="shared" si="82"/>
        <v>1885.5</v>
      </c>
      <c r="J112" s="1150">
        <f>J90+J93+J96+J98+J102+J104+J107+J111</f>
        <v>1885.5</v>
      </c>
      <c r="K112" s="1150">
        <f t="shared" ref="K112:L112" si="93">K90+K93+K96+K98+K102+K104+K107+K111</f>
        <v>18</v>
      </c>
      <c r="L112" s="1150">
        <f t="shared" si="93"/>
        <v>0</v>
      </c>
      <c r="M112" s="1149">
        <f t="shared" si="84"/>
        <v>2174</v>
      </c>
      <c r="N112" s="1150">
        <f>N90+N93+N96+N98+N102+N104+N107+N111</f>
        <v>2174</v>
      </c>
      <c r="O112" s="1150">
        <f t="shared" ref="O112:P112" si="94">O90+O93+O96+O98+O102+O104+O107+O111</f>
        <v>54.5</v>
      </c>
      <c r="P112" s="1150">
        <f t="shared" si="94"/>
        <v>0</v>
      </c>
      <c r="Q112" s="1149">
        <f t="shared" si="87"/>
        <v>2034.0000000000002</v>
      </c>
      <c r="R112" s="1150">
        <f>R90+R93+R96+R98+R102+R104+R107+R111</f>
        <v>2034.0000000000002</v>
      </c>
      <c r="S112" s="1150">
        <f t="shared" ref="S112:T112" si="95">S90+S93+S96+S98+S102+S104+S107+S111</f>
        <v>29.5</v>
      </c>
      <c r="T112" s="1150">
        <f t="shared" si="95"/>
        <v>0</v>
      </c>
      <c r="U112" s="1149">
        <f t="shared" si="90"/>
        <v>2034.0000000000002</v>
      </c>
      <c r="V112" s="1150">
        <f>V90+V93+V96+V98+V102+V104+V107+V111</f>
        <v>2034.0000000000002</v>
      </c>
      <c r="W112" s="1150">
        <f t="shared" ref="W112:X112" si="96">W90+W93+W96+W98+W102+W104+W107+W111</f>
        <v>29.5</v>
      </c>
      <c r="X112" s="2437">
        <f t="shared" si="96"/>
        <v>0</v>
      </c>
      <c r="Y112" s="1219"/>
      <c r="Z112" s="2435"/>
    </row>
    <row r="113" spans="1:26" ht="13.5" thickBot="1" x14ac:dyDescent="0.25">
      <c r="A113" s="1151">
        <v>2</v>
      </c>
      <c r="B113" s="1152">
        <v>3</v>
      </c>
      <c r="C113" s="3189" t="s">
        <v>582</v>
      </c>
      <c r="D113" s="3190"/>
      <c r="E113" s="3190"/>
      <c r="F113" s="3190"/>
      <c r="G113" s="3190"/>
      <c r="H113" s="3190"/>
      <c r="I113" s="3190"/>
      <c r="J113" s="3190"/>
      <c r="K113" s="3190"/>
      <c r="L113" s="3190"/>
      <c r="M113" s="3190"/>
      <c r="N113" s="3190"/>
      <c r="O113" s="3190"/>
      <c r="P113" s="3190"/>
      <c r="Q113" s="3190"/>
      <c r="R113" s="3190"/>
      <c r="S113" s="3190"/>
      <c r="T113" s="3190"/>
      <c r="U113" s="3190"/>
      <c r="V113" s="3190"/>
      <c r="W113" s="3190"/>
      <c r="X113" s="3191"/>
      <c r="Y113" s="1219"/>
      <c r="Z113" s="2435"/>
    </row>
    <row r="114" spans="1:26" ht="18" customHeight="1" x14ac:dyDescent="0.2">
      <c r="A114" s="3192">
        <v>2</v>
      </c>
      <c r="B114" s="3193">
        <v>3</v>
      </c>
      <c r="C114" s="3130">
        <v>1</v>
      </c>
      <c r="D114" s="3212" t="s">
        <v>583</v>
      </c>
      <c r="E114" s="3213">
        <v>8</v>
      </c>
      <c r="F114" s="3130" t="s">
        <v>584</v>
      </c>
      <c r="G114" s="3130" t="s">
        <v>585</v>
      </c>
      <c r="H114" s="2422" t="s">
        <v>30</v>
      </c>
      <c r="I114" s="1153">
        <v>37.9</v>
      </c>
      <c r="J114" s="1154">
        <v>37.9</v>
      </c>
      <c r="K114" s="1154">
        <v>0</v>
      </c>
      <c r="L114" s="1155">
        <v>37.9</v>
      </c>
      <c r="M114" s="1114">
        <f>SUM(N114:P114)</f>
        <v>150</v>
      </c>
      <c r="N114" s="1156">
        <v>50</v>
      </c>
      <c r="O114" s="1156">
        <v>0</v>
      </c>
      <c r="P114" s="1157">
        <v>100</v>
      </c>
      <c r="Q114" s="1114">
        <f t="shared" ref="Q114" si="97">SUM(R114,T114)</f>
        <v>150</v>
      </c>
      <c r="R114" s="1156">
        <v>50</v>
      </c>
      <c r="S114" s="1156">
        <v>0</v>
      </c>
      <c r="T114" s="1157">
        <v>100</v>
      </c>
      <c r="U114" s="1114"/>
      <c r="V114" s="1156"/>
      <c r="W114" s="1156"/>
      <c r="X114" s="1157"/>
      <c r="Y114" s="1219"/>
      <c r="Z114" s="2435"/>
    </row>
    <row r="115" spans="1:26" ht="17.25" customHeight="1" x14ac:dyDescent="0.2">
      <c r="A115" s="3192"/>
      <c r="B115" s="3193"/>
      <c r="C115" s="3132"/>
      <c r="D115" s="3207"/>
      <c r="E115" s="3214"/>
      <c r="F115" s="3132"/>
      <c r="G115" s="3132"/>
      <c r="H115" s="2426" t="s">
        <v>34</v>
      </c>
      <c r="I115" s="1082">
        <f t="shared" ref="I115:I116" si="98">SUM(J115,L115)</f>
        <v>6.7</v>
      </c>
      <c r="J115" s="1158">
        <v>6.7</v>
      </c>
      <c r="K115" s="1158">
        <v>0</v>
      </c>
      <c r="L115" s="1159">
        <v>0</v>
      </c>
      <c r="M115" s="1160">
        <v>26</v>
      </c>
      <c r="N115" s="1161">
        <v>26</v>
      </c>
      <c r="O115" s="1161">
        <v>0</v>
      </c>
      <c r="P115" s="1162">
        <v>0</v>
      </c>
      <c r="Q115" s="1160">
        <v>26</v>
      </c>
      <c r="R115" s="1161">
        <v>26</v>
      </c>
      <c r="S115" s="1161">
        <v>0</v>
      </c>
      <c r="T115" s="1162">
        <v>0</v>
      </c>
      <c r="U115" s="1160"/>
      <c r="V115" s="1161"/>
      <c r="W115" s="1161"/>
      <c r="X115" s="1162"/>
      <c r="Y115" s="1219"/>
      <c r="Z115" s="2435"/>
    </row>
    <row r="116" spans="1:26" ht="19.5" customHeight="1" x14ac:dyDescent="0.2">
      <c r="A116" s="3192"/>
      <c r="B116" s="3193"/>
      <c r="C116" s="3132"/>
      <c r="D116" s="3207"/>
      <c r="E116" s="3214"/>
      <c r="F116" s="3132"/>
      <c r="G116" s="3132"/>
      <c r="H116" s="2430" t="s">
        <v>33</v>
      </c>
      <c r="I116" s="1082">
        <f t="shared" si="98"/>
        <v>5.5</v>
      </c>
      <c r="J116" s="1158">
        <v>5.5</v>
      </c>
      <c r="K116" s="1158">
        <f>0.3-0.1</f>
        <v>0.19999999999999998</v>
      </c>
      <c r="L116" s="1159">
        <v>0</v>
      </c>
      <c r="M116" s="1163">
        <v>9.1</v>
      </c>
      <c r="N116" s="1161">
        <v>9.1</v>
      </c>
      <c r="O116" s="1161">
        <v>0.3</v>
      </c>
      <c r="P116" s="1162">
        <v>0</v>
      </c>
      <c r="Q116" s="1163">
        <f t="shared" ref="Q116" si="99">SUM(R116,T116)</f>
        <v>6.3</v>
      </c>
      <c r="R116" s="1161">
        <v>6.3</v>
      </c>
      <c r="S116" s="1161">
        <v>0.2</v>
      </c>
      <c r="T116" s="1162">
        <v>0</v>
      </c>
      <c r="U116" s="1163"/>
      <c r="V116" s="1161"/>
      <c r="W116" s="1161"/>
      <c r="X116" s="1162"/>
      <c r="Y116" s="1219"/>
      <c r="Z116" s="2435"/>
    </row>
    <row r="117" spans="1:26" ht="19.5" customHeight="1" thickBot="1" x14ac:dyDescent="0.25">
      <c r="A117" s="3192"/>
      <c r="B117" s="3193"/>
      <c r="C117" s="3132"/>
      <c r="D117" s="3207"/>
      <c r="E117" s="3214"/>
      <c r="F117" s="3131"/>
      <c r="G117" s="3131"/>
      <c r="H117" s="1164" t="s">
        <v>586</v>
      </c>
      <c r="I117" s="1071">
        <v>42.6</v>
      </c>
      <c r="J117" s="1165">
        <v>13</v>
      </c>
      <c r="K117" s="1165"/>
      <c r="L117" s="1166"/>
      <c r="M117" s="1167">
        <f>N117+P117</f>
        <v>6.7</v>
      </c>
      <c r="N117" s="2016">
        <v>6.7</v>
      </c>
      <c r="O117" s="1168"/>
      <c r="P117" s="1169"/>
      <c r="Q117" s="1167"/>
      <c r="R117" s="1168"/>
      <c r="S117" s="1168"/>
      <c r="T117" s="1169"/>
      <c r="U117" s="1167"/>
      <c r="V117" s="1168"/>
      <c r="W117" s="1168"/>
      <c r="X117" s="1169"/>
      <c r="Y117" s="1219"/>
      <c r="Z117" s="2435"/>
    </row>
    <row r="118" spans="1:26" ht="18.75" customHeight="1" thickBot="1" x14ac:dyDescent="0.25">
      <c r="A118" s="3192"/>
      <c r="B118" s="3193"/>
      <c r="C118" s="3132"/>
      <c r="D118" s="3207"/>
      <c r="E118" s="3214"/>
      <c r="F118" s="3177" t="s">
        <v>35</v>
      </c>
      <c r="G118" s="3178"/>
      <c r="H118" s="3179"/>
      <c r="I118" s="1140">
        <f>SUM(J118,L118)</f>
        <v>101</v>
      </c>
      <c r="J118" s="1079">
        <f>SUM(J114:J117)</f>
        <v>63.1</v>
      </c>
      <c r="K118" s="1079">
        <f>SUM(K114:K116)</f>
        <v>0.19999999999999998</v>
      </c>
      <c r="L118" s="1079">
        <f>SUM(L114:L116)</f>
        <v>37.9</v>
      </c>
      <c r="M118" s="1140">
        <f t="shared" ref="M118" si="100">SUM(N118,P118)</f>
        <v>191.8</v>
      </c>
      <c r="N118" s="1079">
        <f>SUM(N114:N117)</f>
        <v>91.8</v>
      </c>
      <c r="O118" s="1079">
        <f>SUM(O114:O116)</f>
        <v>0.3</v>
      </c>
      <c r="P118" s="1141">
        <f>SUM(P114:P116)</f>
        <v>100</v>
      </c>
      <c r="Q118" s="1140">
        <f t="shared" ref="Q118:Q122" si="101">SUM(R118,T118)</f>
        <v>182.3</v>
      </c>
      <c r="R118" s="1079">
        <f>SUM(R114:R116)</f>
        <v>82.3</v>
      </c>
      <c r="S118" s="1079">
        <f>SUM(S114:S116)</f>
        <v>0.2</v>
      </c>
      <c r="T118" s="1141">
        <f>SUM(T114:T116)</f>
        <v>100</v>
      </c>
      <c r="U118" s="1140">
        <f t="shared" ref="U118:U127" si="102">SUM(V118,X118)</f>
        <v>0</v>
      </c>
      <c r="V118" s="1079">
        <f>SUM(V114:V116)</f>
        <v>0</v>
      </c>
      <c r="W118" s="1079">
        <f>SUM(W114:W116)</f>
        <v>0</v>
      </c>
      <c r="X118" s="1141">
        <f>SUM(X114:X116)</f>
        <v>0</v>
      </c>
      <c r="Y118" s="1219"/>
      <c r="Z118" s="2435"/>
    </row>
    <row r="119" spans="1:26" ht="18" customHeight="1" x14ac:dyDescent="0.2">
      <c r="A119" s="3196">
        <v>2</v>
      </c>
      <c r="B119" s="3198">
        <v>3</v>
      </c>
      <c r="C119" s="3168">
        <v>2</v>
      </c>
      <c r="D119" s="3206" t="s">
        <v>587</v>
      </c>
      <c r="E119" s="3208" t="s">
        <v>588</v>
      </c>
      <c r="F119" s="3130" t="s">
        <v>529</v>
      </c>
      <c r="G119" s="3175" t="s">
        <v>589</v>
      </c>
      <c r="H119" s="1145" t="s">
        <v>30</v>
      </c>
      <c r="I119" s="1114">
        <v>21</v>
      </c>
      <c r="J119" s="138">
        <v>21</v>
      </c>
      <c r="K119" s="138"/>
      <c r="L119" s="139">
        <v>21</v>
      </c>
      <c r="M119" s="1544">
        <f>SUM(N119,P119)</f>
        <v>103.30000000000003</v>
      </c>
      <c r="N119" s="1545">
        <v>3.3</v>
      </c>
      <c r="O119" s="1545">
        <v>3.1</v>
      </c>
      <c r="P119" s="139">
        <f>300.1-T119</f>
        <v>100.00000000000003</v>
      </c>
      <c r="Q119" s="1070">
        <v>203.4</v>
      </c>
      <c r="R119" s="129">
        <v>2.2000000000000002</v>
      </c>
      <c r="S119" s="129">
        <v>2.1</v>
      </c>
      <c r="T119" s="133">
        <v>200.1</v>
      </c>
      <c r="U119" s="1070">
        <f t="shared" si="102"/>
        <v>0</v>
      </c>
      <c r="V119" s="129">
        <v>0</v>
      </c>
      <c r="W119" s="129">
        <v>0</v>
      </c>
      <c r="X119" s="133">
        <v>0</v>
      </c>
      <c r="Y119" s="1219"/>
      <c r="Z119" s="2435"/>
    </row>
    <row r="120" spans="1:26" ht="19.5" customHeight="1" thickBot="1" x14ac:dyDescent="0.25">
      <c r="A120" s="3192"/>
      <c r="B120" s="3193"/>
      <c r="C120" s="3132"/>
      <c r="D120" s="3207"/>
      <c r="E120" s="3195"/>
      <c r="F120" s="3131"/>
      <c r="G120" s="3176"/>
      <c r="H120" s="1170" t="s">
        <v>111</v>
      </c>
      <c r="I120" s="1115">
        <v>0</v>
      </c>
      <c r="J120" s="1072">
        <v>0</v>
      </c>
      <c r="K120" s="1072">
        <v>0</v>
      </c>
      <c r="L120" s="1073">
        <v>0</v>
      </c>
      <c r="M120" s="1546">
        <f>SUM(N120,P120)</f>
        <v>101</v>
      </c>
      <c r="N120" s="1547">
        <v>1</v>
      </c>
      <c r="O120" s="1547">
        <v>1</v>
      </c>
      <c r="P120" s="1073">
        <v>100</v>
      </c>
      <c r="Q120" s="1071">
        <f t="shared" si="101"/>
        <v>281.3</v>
      </c>
      <c r="R120" s="130">
        <v>3.1</v>
      </c>
      <c r="S120" s="130">
        <v>2.9</v>
      </c>
      <c r="T120" s="151">
        <v>278.2</v>
      </c>
      <c r="U120" s="1071">
        <f t="shared" si="102"/>
        <v>0</v>
      </c>
      <c r="V120" s="130">
        <v>0</v>
      </c>
      <c r="W120" s="130">
        <v>0</v>
      </c>
      <c r="X120" s="151">
        <v>0</v>
      </c>
      <c r="Y120" s="1219"/>
      <c r="Z120" s="2435"/>
    </row>
    <row r="121" spans="1:26" ht="21.4" customHeight="1" thickBot="1" x14ac:dyDescent="0.25">
      <c r="A121" s="3192"/>
      <c r="B121" s="3193"/>
      <c r="C121" s="3132"/>
      <c r="D121" s="3207"/>
      <c r="E121" s="3195"/>
      <c r="F121" s="3177" t="s">
        <v>35</v>
      </c>
      <c r="G121" s="3178"/>
      <c r="H121" s="3179"/>
      <c r="I121" s="1171">
        <f>SUM(J121)</f>
        <v>21</v>
      </c>
      <c r="J121" s="1172">
        <f>SUM(J119,J120)</f>
        <v>21</v>
      </c>
      <c r="K121" s="1172">
        <f>SUM(K119,K120)</f>
        <v>0</v>
      </c>
      <c r="L121" s="1172">
        <f>SUM(L119,L120)</f>
        <v>21</v>
      </c>
      <c r="M121" s="1171">
        <f t="shared" ref="M121" si="103">SUM(N121,P121)</f>
        <v>204.30000000000004</v>
      </c>
      <c r="N121" s="1172">
        <f>SUM(N119,N120)</f>
        <v>4.3</v>
      </c>
      <c r="O121" s="1172">
        <f>SUM(O119,O120)</f>
        <v>4.0999999999999996</v>
      </c>
      <c r="P121" s="1173">
        <f>SUM(P119,P120)</f>
        <v>200.00000000000003</v>
      </c>
      <c r="Q121" s="1074">
        <f t="shared" si="101"/>
        <v>483.59999999999997</v>
      </c>
      <c r="R121" s="1078">
        <f>SUM(R119,R120)</f>
        <v>5.3000000000000007</v>
      </c>
      <c r="S121" s="1078">
        <f>SUM(S119,S120)</f>
        <v>5</v>
      </c>
      <c r="T121" s="1076">
        <f>SUM(T119,T120)</f>
        <v>478.29999999999995</v>
      </c>
      <c r="U121" s="1074">
        <f t="shared" si="102"/>
        <v>0</v>
      </c>
      <c r="V121" s="1078">
        <f>SUM(V119,V120)</f>
        <v>0</v>
      </c>
      <c r="W121" s="1078">
        <f>SUM(W119,W120)</f>
        <v>0</v>
      </c>
      <c r="X121" s="1076">
        <f>SUM(X119,X120)</f>
        <v>0</v>
      </c>
      <c r="Y121" s="1219"/>
      <c r="Z121" s="2435"/>
    </row>
    <row r="122" spans="1:26" ht="15" customHeight="1" x14ac:dyDescent="0.2">
      <c r="A122" s="3196">
        <v>2</v>
      </c>
      <c r="B122" s="3198">
        <v>3</v>
      </c>
      <c r="C122" s="3168">
        <v>3</v>
      </c>
      <c r="D122" s="3136" t="s">
        <v>590</v>
      </c>
      <c r="E122" s="3167">
        <v>7</v>
      </c>
      <c r="F122" s="3201" t="s">
        <v>529</v>
      </c>
      <c r="G122" s="3132" t="s">
        <v>591</v>
      </c>
      <c r="H122" s="1174" t="s">
        <v>111</v>
      </c>
      <c r="I122" s="1175">
        <v>143.69999999999999</v>
      </c>
      <c r="J122" s="1176"/>
      <c r="K122" s="1176"/>
      <c r="L122" s="139">
        <v>143.69999999999999</v>
      </c>
      <c r="M122" s="1114">
        <v>32.799999999999997</v>
      </c>
      <c r="N122" s="138">
        <v>2</v>
      </c>
      <c r="O122" s="138">
        <v>1.9</v>
      </c>
      <c r="P122" s="1177">
        <v>30.8</v>
      </c>
      <c r="Q122" s="1178">
        <f t="shared" si="101"/>
        <v>0</v>
      </c>
      <c r="R122" s="1179"/>
      <c r="S122" s="1179">
        <v>0</v>
      </c>
      <c r="T122" s="1180"/>
      <c r="U122" s="1178">
        <f t="shared" si="102"/>
        <v>0</v>
      </c>
      <c r="V122" s="1179"/>
      <c r="W122" s="1179">
        <v>0</v>
      </c>
      <c r="X122" s="1180"/>
      <c r="Y122" s="1219"/>
      <c r="Z122" s="2435"/>
    </row>
    <row r="123" spans="1:26" ht="15.75" customHeight="1" thickBot="1" x14ac:dyDescent="0.25">
      <c r="A123" s="3192"/>
      <c r="B123" s="3193"/>
      <c r="C123" s="3132"/>
      <c r="D123" s="3136"/>
      <c r="E123" s="3167"/>
      <c r="F123" s="3202"/>
      <c r="G123" s="3131"/>
      <c r="H123" s="1139" t="s">
        <v>30</v>
      </c>
      <c r="I123" s="145">
        <v>28.7</v>
      </c>
      <c r="J123" s="146"/>
      <c r="K123" s="146"/>
      <c r="L123" s="1181">
        <v>28.7</v>
      </c>
      <c r="M123" s="1182">
        <v>41.3</v>
      </c>
      <c r="N123" s="1183"/>
      <c r="O123" s="1183"/>
      <c r="P123" s="147">
        <v>41.3</v>
      </c>
      <c r="Q123" s="148"/>
      <c r="R123" s="149"/>
      <c r="S123" s="149"/>
      <c r="T123" s="150"/>
      <c r="U123" s="148"/>
      <c r="V123" s="149"/>
      <c r="W123" s="149"/>
      <c r="X123" s="150"/>
      <c r="Y123" s="1219"/>
      <c r="Z123" s="2435"/>
    </row>
    <row r="124" spans="1:26" ht="24.75" customHeight="1" thickBot="1" x14ac:dyDescent="0.25">
      <c r="A124" s="3197"/>
      <c r="B124" s="3199"/>
      <c r="C124" s="3200"/>
      <c r="D124" s="3136"/>
      <c r="E124" s="3167"/>
      <c r="F124" s="3203" t="s">
        <v>35</v>
      </c>
      <c r="G124" s="3204"/>
      <c r="H124" s="3205"/>
      <c r="I124" s="1074">
        <f t="shared" ref="I124:I126" si="104">SUM(J124,L124)</f>
        <v>172.39999999999998</v>
      </c>
      <c r="J124" s="1075">
        <f>SUM(J122)</f>
        <v>0</v>
      </c>
      <c r="K124" s="1075">
        <f>SUM(K122)</f>
        <v>0</v>
      </c>
      <c r="L124" s="1078">
        <f>SUM(L122,L123)</f>
        <v>172.39999999999998</v>
      </c>
      <c r="M124" s="1097">
        <f t="shared" ref="M124:M127" si="105">SUM(N124,P124)</f>
        <v>74.099999999999994</v>
      </c>
      <c r="N124" s="1078">
        <f>N122+N123</f>
        <v>2</v>
      </c>
      <c r="O124" s="1078">
        <f>O122+O123</f>
        <v>1.9</v>
      </c>
      <c r="P124" s="1076">
        <f>P122+P123</f>
        <v>72.099999999999994</v>
      </c>
      <c r="Q124" s="1097">
        <f t="shared" ref="Q124:Q127" si="106">SUM(R124,T124)</f>
        <v>0</v>
      </c>
      <c r="R124" s="1078">
        <f>SUM(R122)</f>
        <v>0</v>
      </c>
      <c r="S124" s="1078">
        <f>SUM(S122)</f>
        <v>0</v>
      </c>
      <c r="T124" s="1076">
        <f>SUM(T122)</f>
        <v>0</v>
      </c>
      <c r="U124" s="1097">
        <f t="shared" si="102"/>
        <v>0</v>
      </c>
      <c r="V124" s="1078">
        <f>SUM(V122)</f>
        <v>0</v>
      </c>
      <c r="W124" s="1078">
        <f>SUM(W122)</f>
        <v>0</v>
      </c>
      <c r="X124" s="1076">
        <f>SUM(X122)</f>
        <v>0</v>
      </c>
      <c r="Y124" s="1219"/>
      <c r="Z124" s="2435"/>
    </row>
    <row r="125" spans="1:26" ht="19.5" hidden="1" customHeight="1" x14ac:dyDescent="0.2">
      <c r="A125" s="3192">
        <v>2</v>
      </c>
      <c r="B125" s="3193">
        <v>3</v>
      </c>
      <c r="C125" s="3132">
        <v>4</v>
      </c>
      <c r="D125" s="3194" t="s">
        <v>592</v>
      </c>
      <c r="E125" s="3195" t="s">
        <v>549</v>
      </c>
      <c r="F125" s="3130" t="s">
        <v>550</v>
      </c>
      <c r="G125" s="3175" t="s">
        <v>593</v>
      </c>
      <c r="H125" s="1145" t="s">
        <v>30</v>
      </c>
      <c r="I125" s="1070"/>
      <c r="J125" s="129"/>
      <c r="K125" s="129">
        <v>0</v>
      </c>
      <c r="L125" s="133"/>
      <c r="M125" s="1070">
        <f t="shared" si="105"/>
        <v>0</v>
      </c>
      <c r="N125" s="129">
        <v>0</v>
      </c>
      <c r="O125" s="129">
        <v>0</v>
      </c>
      <c r="P125" s="133">
        <v>0</v>
      </c>
      <c r="Q125" s="1070">
        <f t="shared" si="106"/>
        <v>0</v>
      </c>
      <c r="R125" s="129">
        <v>0</v>
      </c>
      <c r="S125" s="129">
        <v>0</v>
      </c>
      <c r="T125" s="133">
        <v>0</v>
      </c>
      <c r="U125" s="1070">
        <f t="shared" si="102"/>
        <v>0</v>
      </c>
      <c r="V125" s="129">
        <v>0</v>
      </c>
      <c r="W125" s="129">
        <v>0</v>
      </c>
      <c r="X125" s="133">
        <v>0</v>
      </c>
      <c r="Y125" s="1219"/>
      <c r="Z125" s="2435"/>
    </row>
    <row r="126" spans="1:26" ht="18.75" hidden="1" customHeight="1" thickBot="1" x14ac:dyDescent="0.25">
      <c r="A126" s="3192"/>
      <c r="B126" s="3193"/>
      <c r="C126" s="3132"/>
      <c r="D126" s="3194"/>
      <c r="E126" s="3195"/>
      <c r="F126" s="3131"/>
      <c r="G126" s="3176"/>
      <c r="H126" s="1170" t="s">
        <v>202</v>
      </c>
      <c r="I126" s="1071">
        <f t="shared" si="104"/>
        <v>0</v>
      </c>
      <c r="J126" s="130">
        <v>0</v>
      </c>
      <c r="K126" s="130">
        <v>0</v>
      </c>
      <c r="L126" s="151"/>
      <c r="M126" s="1071">
        <f t="shared" si="105"/>
        <v>0</v>
      </c>
      <c r="N126" s="130">
        <v>0</v>
      </c>
      <c r="O126" s="130">
        <v>0</v>
      </c>
      <c r="P126" s="151">
        <v>0</v>
      </c>
      <c r="Q126" s="1071">
        <f t="shared" si="106"/>
        <v>0</v>
      </c>
      <c r="R126" s="130">
        <v>0</v>
      </c>
      <c r="S126" s="130">
        <v>0</v>
      </c>
      <c r="T126" s="151">
        <v>0</v>
      </c>
      <c r="U126" s="1071">
        <f t="shared" si="102"/>
        <v>0</v>
      </c>
      <c r="V126" s="130">
        <v>0</v>
      </c>
      <c r="W126" s="130">
        <v>0</v>
      </c>
      <c r="X126" s="151">
        <v>0</v>
      </c>
      <c r="Y126" s="1219"/>
      <c r="Z126" s="2435"/>
    </row>
    <row r="127" spans="1:26" ht="21.4" hidden="1" customHeight="1" thickBot="1" x14ac:dyDescent="0.25">
      <c r="A127" s="3192"/>
      <c r="B127" s="3193"/>
      <c r="C127" s="3132"/>
      <c r="D127" s="3194"/>
      <c r="E127" s="3195"/>
      <c r="F127" s="3177" t="s">
        <v>35</v>
      </c>
      <c r="G127" s="3178"/>
      <c r="H127" s="3179"/>
      <c r="I127" s="1074">
        <f>SUM(J127,L127)</f>
        <v>0</v>
      </c>
      <c r="J127" s="1078">
        <f>SUM(J125,J126)</f>
        <v>0</v>
      </c>
      <c r="K127" s="1078">
        <f>SUM(K125,K126)</f>
        <v>0</v>
      </c>
      <c r="L127" s="1078">
        <f>SUM(L125,L126)</f>
        <v>0</v>
      </c>
      <c r="M127" s="1074">
        <f t="shared" si="105"/>
        <v>0</v>
      </c>
      <c r="N127" s="1078">
        <f>SUM(N125,N126)</f>
        <v>0</v>
      </c>
      <c r="O127" s="1078">
        <f>SUM(O125,O126)</f>
        <v>0</v>
      </c>
      <c r="P127" s="1076">
        <f>SUM(P125,P126)</f>
        <v>0</v>
      </c>
      <c r="Q127" s="1074">
        <f t="shared" si="106"/>
        <v>0</v>
      </c>
      <c r="R127" s="1078">
        <f>SUM(R125,R126)</f>
        <v>0</v>
      </c>
      <c r="S127" s="1078">
        <f>SUM(S125,S126)</f>
        <v>0</v>
      </c>
      <c r="T127" s="1076">
        <f>SUM(T125,T126)</f>
        <v>0</v>
      </c>
      <c r="U127" s="1074">
        <f t="shared" si="102"/>
        <v>0</v>
      </c>
      <c r="V127" s="1078">
        <f>SUM(V125,V126)</f>
        <v>0</v>
      </c>
      <c r="W127" s="1078">
        <f>SUM(W125,W126)</f>
        <v>0</v>
      </c>
      <c r="X127" s="1076">
        <f>SUM(X125,X126)</f>
        <v>0</v>
      </c>
      <c r="Y127" s="1219"/>
      <c r="Z127" s="2435"/>
    </row>
    <row r="128" spans="1:26" ht="13.5" customHeight="1" thickBot="1" x14ac:dyDescent="0.25">
      <c r="A128" s="2412">
        <v>2</v>
      </c>
      <c r="B128" s="1090">
        <v>3</v>
      </c>
      <c r="C128" s="3180" t="s">
        <v>234</v>
      </c>
      <c r="D128" s="3181"/>
      <c r="E128" s="3181"/>
      <c r="F128" s="3181"/>
      <c r="G128" s="3181"/>
      <c r="H128" s="3182"/>
      <c r="I128" s="1184">
        <f>J128+L128</f>
        <v>315.39999999999998</v>
      </c>
      <c r="J128" s="1138">
        <f>SUM(J118,J121,J124,J127)</f>
        <v>84.1</v>
      </c>
      <c r="K128" s="1138">
        <f t="shared" ref="K128:L128" si="107">SUM(K118,K121,K124,K127)</f>
        <v>0.19999999999999998</v>
      </c>
      <c r="L128" s="1138">
        <f t="shared" si="107"/>
        <v>231.29999999999998</v>
      </c>
      <c r="M128" s="1137">
        <f>N128+P128</f>
        <v>470.20000000000005</v>
      </c>
      <c r="N128" s="1138">
        <f>SUM(N118,N121,N124,N127)</f>
        <v>98.1</v>
      </c>
      <c r="O128" s="1138">
        <f t="shared" ref="O128:P128" si="108">SUM(O118,O121,O124,O127)</f>
        <v>6.2999999999999989</v>
      </c>
      <c r="P128" s="1138">
        <f t="shared" si="108"/>
        <v>372.1</v>
      </c>
      <c r="Q128" s="1137">
        <f>R128+T128</f>
        <v>665.9</v>
      </c>
      <c r="R128" s="1138">
        <f>SUM(R118,R121,R124,R127)</f>
        <v>87.6</v>
      </c>
      <c r="S128" s="1138">
        <f t="shared" ref="S128:T128" si="109">SUM(S118,S121,S124,S127)</f>
        <v>5.2</v>
      </c>
      <c r="T128" s="1138">
        <f t="shared" si="109"/>
        <v>578.29999999999995</v>
      </c>
      <c r="U128" s="1137">
        <f>V128+X128</f>
        <v>0</v>
      </c>
      <c r="V128" s="1138">
        <f>SUM(V118,V121,V124,V127)</f>
        <v>0</v>
      </c>
      <c r="W128" s="1138">
        <f t="shared" ref="W128:X128" si="110">SUM(W118,W121,W124,W127)</f>
        <v>0</v>
      </c>
      <c r="X128" s="2294">
        <f t="shared" si="110"/>
        <v>0</v>
      </c>
      <c r="Y128" s="1219"/>
      <c r="Z128" s="2435"/>
    </row>
    <row r="129" spans="1:26" ht="13.5" customHeight="1" thickBot="1" x14ac:dyDescent="0.25">
      <c r="A129" s="1185">
        <v>2</v>
      </c>
      <c r="B129" s="3183" t="s">
        <v>594</v>
      </c>
      <c r="C129" s="3184"/>
      <c r="D129" s="3184"/>
      <c r="E129" s="3184"/>
      <c r="F129" s="3184"/>
      <c r="G129" s="3184"/>
      <c r="H129" s="3185"/>
      <c r="I129" s="1186">
        <f>SUM(J129,L129)</f>
        <v>8016.2000000000007</v>
      </c>
      <c r="J129" s="1187">
        <f>J128+J112+J87</f>
        <v>7699.8000000000011</v>
      </c>
      <c r="K129" s="1187">
        <f>K128+K112+K87</f>
        <v>4335.2</v>
      </c>
      <c r="L129" s="1187">
        <f>L128+L112+L87</f>
        <v>316.39999999999998</v>
      </c>
      <c r="M129" s="1186">
        <f>SUM(N129,P129)</f>
        <v>9429</v>
      </c>
      <c r="N129" s="1187">
        <f>N128+N112+N87</f>
        <v>8962.5</v>
      </c>
      <c r="O129" s="1187">
        <f>O128+O112+O87</f>
        <v>5455.7</v>
      </c>
      <c r="P129" s="1187">
        <f>P128+P112+P87</f>
        <v>466.5</v>
      </c>
      <c r="Q129" s="1186">
        <f>SUM(R129,T129)</f>
        <v>9535.0999999999985</v>
      </c>
      <c r="R129" s="1187">
        <f>R128+R112+R87</f>
        <v>8956.7999999999993</v>
      </c>
      <c r="S129" s="1187">
        <f>S128+S112+S87</f>
        <v>5674.5</v>
      </c>
      <c r="T129" s="1188">
        <f>T128+T112+T87</f>
        <v>578.29999999999995</v>
      </c>
      <c r="U129" s="1186">
        <f>SUM(V129,X129)</f>
        <v>8874</v>
      </c>
      <c r="V129" s="1187">
        <f>V128+V112+V87</f>
        <v>8874</v>
      </c>
      <c r="W129" s="1187">
        <f>W128+W112+W87</f>
        <v>5676.4000000000005</v>
      </c>
      <c r="X129" s="2438">
        <f>X128+X112+X87</f>
        <v>0</v>
      </c>
      <c r="Y129" s="1219"/>
      <c r="Z129" s="2435"/>
    </row>
    <row r="130" spans="1:26" ht="13.15" customHeight="1" thickBot="1" x14ac:dyDescent="0.25">
      <c r="A130" s="1189">
        <v>3</v>
      </c>
      <c r="B130" s="3186" t="s">
        <v>595</v>
      </c>
      <c r="C130" s="3187"/>
      <c r="D130" s="3187"/>
      <c r="E130" s="3187"/>
      <c r="F130" s="3187"/>
      <c r="G130" s="3187"/>
      <c r="H130" s="3187"/>
      <c r="I130" s="3187"/>
      <c r="J130" s="3187"/>
      <c r="K130" s="3187"/>
      <c r="L130" s="3187"/>
      <c r="M130" s="3187"/>
      <c r="N130" s="3187"/>
      <c r="O130" s="3187"/>
      <c r="P130" s="3187"/>
      <c r="Q130" s="3187"/>
      <c r="R130" s="3187"/>
      <c r="S130" s="3187"/>
      <c r="T130" s="3187"/>
      <c r="U130" s="3187"/>
      <c r="V130" s="3187"/>
      <c r="W130" s="3187"/>
      <c r="X130" s="3188"/>
      <c r="Y130" s="1219"/>
      <c r="Z130" s="2435"/>
    </row>
    <row r="131" spans="1:26" ht="13.5" thickBot="1" x14ac:dyDescent="0.25">
      <c r="A131" s="1190">
        <v>3</v>
      </c>
      <c r="B131" s="1191">
        <v>1</v>
      </c>
      <c r="C131" s="3189" t="s">
        <v>596</v>
      </c>
      <c r="D131" s="3190"/>
      <c r="E131" s="3190"/>
      <c r="F131" s="3190"/>
      <c r="G131" s="3190"/>
      <c r="H131" s="3190"/>
      <c r="I131" s="3190"/>
      <c r="J131" s="3190"/>
      <c r="K131" s="3190"/>
      <c r="L131" s="3190"/>
      <c r="M131" s="3190"/>
      <c r="N131" s="3190"/>
      <c r="O131" s="3190"/>
      <c r="P131" s="3190"/>
      <c r="Q131" s="3190"/>
      <c r="R131" s="3190"/>
      <c r="S131" s="3190"/>
      <c r="T131" s="3190"/>
      <c r="U131" s="3190"/>
      <c r="V131" s="3190"/>
      <c r="W131" s="3190"/>
      <c r="X131" s="3191"/>
      <c r="Y131" s="1219"/>
      <c r="Z131" s="2435"/>
    </row>
    <row r="132" spans="1:26" ht="19.350000000000001" customHeight="1" thickBot="1" x14ac:dyDescent="0.25">
      <c r="A132" s="3165">
        <v>3</v>
      </c>
      <c r="B132" s="3166">
        <v>1</v>
      </c>
      <c r="C132" s="3167">
        <v>1</v>
      </c>
      <c r="D132" s="3136" t="s">
        <v>597</v>
      </c>
      <c r="E132" s="3170">
        <v>7</v>
      </c>
      <c r="F132" s="2421" t="s">
        <v>598</v>
      </c>
      <c r="G132" s="2410" t="s">
        <v>599</v>
      </c>
      <c r="H132" s="2422" t="s">
        <v>33</v>
      </c>
      <c r="I132" s="129">
        <f>SUM(J132,L132)</f>
        <v>42.9</v>
      </c>
      <c r="J132" s="129">
        <v>42.9</v>
      </c>
      <c r="K132" s="129">
        <v>41.9</v>
      </c>
      <c r="L132" s="139"/>
      <c r="M132" s="138">
        <f>SUM(N132,P132)</f>
        <v>54.8</v>
      </c>
      <c r="N132" s="138">
        <v>54.8</v>
      </c>
      <c r="O132" s="138">
        <v>52.2</v>
      </c>
      <c r="P132" s="1192">
        <v>0</v>
      </c>
      <c r="Q132" s="138">
        <f>SUM(R132,T132)</f>
        <v>76.3</v>
      </c>
      <c r="R132" s="138">
        <v>76.3</v>
      </c>
      <c r="S132" s="138">
        <v>74.400000000000006</v>
      </c>
      <c r="T132" s="1192">
        <v>0</v>
      </c>
      <c r="U132" s="138">
        <f>SUM(V132,X132)</f>
        <v>76.3</v>
      </c>
      <c r="V132" s="138">
        <v>76.3</v>
      </c>
      <c r="W132" s="138"/>
      <c r="X132" s="1192"/>
      <c r="Y132" s="1219"/>
      <c r="Z132" s="2435"/>
    </row>
    <row r="133" spans="1:26" ht="17.100000000000001" customHeight="1" thickBot="1" x14ac:dyDescent="0.25">
      <c r="A133" s="3165"/>
      <c r="B133" s="3166"/>
      <c r="C133" s="3168"/>
      <c r="D133" s="3169"/>
      <c r="E133" s="3171"/>
      <c r="F133" s="3172" t="s">
        <v>35</v>
      </c>
      <c r="G133" s="3173"/>
      <c r="H133" s="3174"/>
      <c r="I133" s="1074">
        <f t="shared" ref="I133" si="111">SUM(J133,L133)</f>
        <v>42.9</v>
      </c>
      <c r="J133" s="1078">
        <f>SUM(J132:J132)</f>
        <v>42.9</v>
      </c>
      <c r="K133" s="1078">
        <f>SUM(K132:K132)</f>
        <v>41.9</v>
      </c>
      <c r="L133" s="1078">
        <f>SUM(L132:L132)</f>
        <v>0</v>
      </c>
      <c r="M133" s="1074">
        <f t="shared" ref="M133" si="112">SUM(N133,P133)</f>
        <v>54.8</v>
      </c>
      <c r="N133" s="1075">
        <f>SUM(N132:N132)</f>
        <v>54.8</v>
      </c>
      <c r="O133" s="1075">
        <f>SUM(O132:O132)</f>
        <v>52.2</v>
      </c>
      <c r="P133" s="1076">
        <f>SUM(P132:P132)</f>
        <v>0</v>
      </c>
      <c r="Q133" s="1074">
        <f t="shared" ref="Q133" si="113">SUM(R133,T133)</f>
        <v>76.3</v>
      </c>
      <c r="R133" s="1075">
        <f>SUM(R132:R132)</f>
        <v>76.3</v>
      </c>
      <c r="S133" s="1075">
        <f>SUM(S132:S132)</f>
        <v>74.400000000000006</v>
      </c>
      <c r="T133" s="1076">
        <f>SUM(T132:T132)</f>
        <v>0</v>
      </c>
      <c r="U133" s="1074">
        <f t="shared" ref="U133" si="114">SUM(V133,X133)</f>
        <v>76.3</v>
      </c>
      <c r="V133" s="1075">
        <f>SUM(V132:V132)</f>
        <v>76.3</v>
      </c>
      <c r="W133" s="1075">
        <f>SUM(W132:W132)</f>
        <v>0</v>
      </c>
      <c r="X133" s="1076">
        <f>SUM(X132:X132)</f>
        <v>0</v>
      </c>
      <c r="Y133" s="1219"/>
      <c r="Z133" s="2435"/>
    </row>
    <row r="134" spans="1:26" ht="13.5" customHeight="1" thickBot="1" x14ac:dyDescent="0.25">
      <c r="A134" s="2413">
        <v>3</v>
      </c>
      <c r="B134" s="1193">
        <v>1</v>
      </c>
      <c r="C134" s="3161" t="s">
        <v>234</v>
      </c>
      <c r="D134" s="3162"/>
      <c r="E134" s="3162"/>
      <c r="F134" s="3162"/>
      <c r="G134" s="3162"/>
      <c r="H134" s="3163"/>
      <c r="I134" s="1194">
        <f>SUM(J134,L134)</f>
        <v>42.9</v>
      </c>
      <c r="J134" s="1195">
        <f>SUM(J133)</f>
        <v>42.9</v>
      </c>
      <c r="K134" s="1195">
        <f>SUM(K133)</f>
        <v>41.9</v>
      </c>
      <c r="L134" s="1195">
        <f>SUM(L133)</f>
        <v>0</v>
      </c>
      <c r="M134" s="1194">
        <f>SUM(N134,P134)</f>
        <v>54.8</v>
      </c>
      <c r="N134" s="1195">
        <f>SUM(N133)</f>
        <v>54.8</v>
      </c>
      <c r="O134" s="1195">
        <f>SUM(O133)</f>
        <v>52.2</v>
      </c>
      <c r="P134" s="1195">
        <f>SUM(P133)</f>
        <v>0</v>
      </c>
      <c r="Q134" s="1194">
        <f>SUM(R134,T134)</f>
        <v>76.3</v>
      </c>
      <c r="R134" s="1195">
        <f>SUM(R133)</f>
        <v>76.3</v>
      </c>
      <c r="S134" s="1195">
        <f>SUM(S133)</f>
        <v>74.400000000000006</v>
      </c>
      <c r="T134" s="1196">
        <f>SUM(T133)</f>
        <v>0</v>
      </c>
      <c r="U134" s="1194">
        <f>SUM(V134,X134)</f>
        <v>76.3</v>
      </c>
      <c r="V134" s="1195">
        <f>SUM(V133)</f>
        <v>76.3</v>
      </c>
      <c r="W134" s="1195">
        <f>SUM(W133)</f>
        <v>0</v>
      </c>
      <c r="X134" s="1196">
        <f>SUM(X133)</f>
        <v>0</v>
      </c>
      <c r="Y134" s="1219"/>
      <c r="Z134" s="2435"/>
    </row>
    <row r="135" spans="1:26" ht="17.100000000000001" customHeight="1" thickBot="1" x14ac:dyDescent="0.25">
      <c r="A135" s="2396">
        <v>3</v>
      </c>
      <c r="B135" s="472">
        <v>2</v>
      </c>
      <c r="C135" s="2552" t="s">
        <v>600</v>
      </c>
      <c r="D135" s="2553"/>
      <c r="E135" s="2553"/>
      <c r="F135" s="2553"/>
      <c r="G135" s="2553"/>
      <c r="H135" s="2553"/>
      <c r="I135" s="2642"/>
      <c r="J135" s="2642"/>
      <c r="K135" s="2642"/>
      <c r="L135" s="2642"/>
      <c r="M135" s="2642"/>
      <c r="N135" s="2642"/>
      <c r="O135" s="2642"/>
      <c r="P135" s="2642"/>
      <c r="Q135" s="2642"/>
      <c r="R135" s="2642"/>
      <c r="S135" s="2642"/>
      <c r="T135" s="2642"/>
      <c r="U135" s="2642"/>
      <c r="V135" s="2553"/>
      <c r="W135" s="2553"/>
      <c r="X135" s="2554"/>
      <c r="Y135" s="1219"/>
      <c r="Z135" s="2435"/>
    </row>
    <row r="136" spans="1:26" ht="17.25" customHeight="1" x14ac:dyDescent="0.2">
      <c r="A136" s="2557">
        <v>3</v>
      </c>
      <c r="B136" s="2540">
        <v>2</v>
      </c>
      <c r="C136" s="2501">
        <v>1</v>
      </c>
      <c r="D136" s="2565" t="s">
        <v>601</v>
      </c>
      <c r="E136" s="3164" t="s">
        <v>602</v>
      </c>
      <c r="F136" s="2501" t="s">
        <v>529</v>
      </c>
      <c r="G136" s="2501" t="s">
        <v>603</v>
      </c>
      <c r="H136" s="2393" t="s">
        <v>30</v>
      </c>
      <c r="I136" s="381">
        <f>J136+L136</f>
        <v>38.4</v>
      </c>
      <c r="J136" s="2380">
        <f>32.9+10.5-5</f>
        <v>38.4</v>
      </c>
      <c r="K136" s="477">
        <v>0</v>
      </c>
      <c r="L136" s="478">
        <v>0</v>
      </c>
      <c r="M136" s="381">
        <v>23.4</v>
      </c>
      <c r="N136" s="2380">
        <v>23.4</v>
      </c>
      <c r="O136" s="477">
        <v>0</v>
      </c>
      <c r="P136" s="478">
        <v>0</v>
      </c>
      <c r="Q136" s="381">
        <v>23.4</v>
      </c>
      <c r="R136" s="349">
        <v>23.4</v>
      </c>
      <c r="S136" s="481">
        <v>0</v>
      </c>
      <c r="T136" s="482">
        <v>0</v>
      </c>
      <c r="U136" s="381">
        <v>23.4</v>
      </c>
      <c r="V136" s="349">
        <v>23.4</v>
      </c>
      <c r="W136" s="481">
        <v>0</v>
      </c>
      <c r="X136" s="482">
        <v>0</v>
      </c>
      <c r="Y136" s="1219"/>
      <c r="Z136" s="2435"/>
    </row>
    <row r="137" spans="1:26" ht="15.75" customHeight="1" x14ac:dyDescent="0.2">
      <c r="A137" s="2558"/>
      <c r="B137" s="2541"/>
      <c r="C137" s="2513"/>
      <c r="D137" s="2528"/>
      <c r="E137" s="2631"/>
      <c r="F137" s="2513"/>
      <c r="G137" s="2531"/>
      <c r="H137" s="2393" t="s">
        <v>33</v>
      </c>
      <c r="I137" s="389">
        <v>8.3000000000000007</v>
      </c>
      <c r="J137" s="349">
        <v>8.3000000000000007</v>
      </c>
      <c r="K137" s="481">
        <v>1.5</v>
      </c>
      <c r="L137" s="482"/>
      <c r="M137" s="389"/>
      <c r="N137" s="349"/>
      <c r="O137" s="481"/>
      <c r="P137" s="482"/>
      <c r="Q137" s="389"/>
      <c r="R137" s="349"/>
      <c r="S137" s="481"/>
      <c r="T137" s="482"/>
      <c r="U137" s="389"/>
      <c r="V137" s="349"/>
      <c r="W137" s="481"/>
      <c r="X137" s="482"/>
      <c r="Y137" s="1219"/>
      <c r="Z137" s="2435"/>
    </row>
    <row r="138" spans="1:26" ht="16.5" customHeight="1" thickBot="1" x14ac:dyDescent="0.25">
      <c r="A138" s="2558"/>
      <c r="B138" s="2541"/>
      <c r="C138" s="2513"/>
      <c r="D138" s="2528"/>
      <c r="E138" s="1197" t="s">
        <v>604</v>
      </c>
      <c r="F138" s="2502"/>
      <c r="G138" s="2402" t="s">
        <v>605</v>
      </c>
      <c r="H138" s="2393" t="s">
        <v>30</v>
      </c>
      <c r="I138" s="389">
        <v>42.6</v>
      </c>
      <c r="J138" s="349">
        <v>42.6</v>
      </c>
      <c r="K138" s="481"/>
      <c r="L138" s="482">
        <v>0</v>
      </c>
      <c r="M138" s="389">
        <v>20</v>
      </c>
      <c r="N138" s="349">
        <v>20</v>
      </c>
      <c r="O138" s="481">
        <v>0</v>
      </c>
      <c r="P138" s="482">
        <v>0</v>
      </c>
      <c r="Q138" s="389">
        <v>20</v>
      </c>
      <c r="R138" s="349">
        <v>20</v>
      </c>
      <c r="S138" s="481">
        <v>0</v>
      </c>
      <c r="T138" s="482">
        <v>0</v>
      </c>
      <c r="U138" s="389">
        <v>20</v>
      </c>
      <c r="V138" s="349">
        <v>20</v>
      </c>
      <c r="W138" s="481">
        <v>0</v>
      </c>
      <c r="X138" s="482">
        <v>0</v>
      </c>
      <c r="Y138" s="1219"/>
      <c r="Z138" s="2435"/>
    </row>
    <row r="139" spans="1:26" ht="21.4" customHeight="1" thickBot="1" x14ac:dyDescent="0.25">
      <c r="A139" s="2559"/>
      <c r="B139" s="2542"/>
      <c r="C139" s="2531"/>
      <c r="D139" s="2529"/>
      <c r="E139" s="1198"/>
      <c r="F139" s="2516" t="s">
        <v>35</v>
      </c>
      <c r="G139" s="2517"/>
      <c r="H139" s="2518"/>
      <c r="I139" s="392">
        <f t="shared" ref="I139:I146" si="115">J139+L139</f>
        <v>89.3</v>
      </c>
      <c r="J139" s="409">
        <f>SUM(J136,J138,J137)</f>
        <v>89.3</v>
      </c>
      <c r="K139" s="409">
        <f t="shared" ref="K139:L139" si="116">SUM(K136,K138,K137)</f>
        <v>1.5</v>
      </c>
      <c r="L139" s="409">
        <f t="shared" si="116"/>
        <v>0</v>
      </c>
      <c r="M139" s="587">
        <f t="shared" ref="M139:M146" si="117">N139+P139</f>
        <v>43.4</v>
      </c>
      <c r="N139" s="409">
        <f>SUM(N136,N138,N137)</f>
        <v>43.4</v>
      </c>
      <c r="O139" s="409">
        <f t="shared" ref="O139" si="118">SUM(O136,O138,O137)</f>
        <v>0</v>
      </c>
      <c r="P139" s="409">
        <f t="shared" ref="P139" si="119">SUM(P136,P138,P137)</f>
        <v>0</v>
      </c>
      <c r="Q139" s="587">
        <f t="shared" ref="Q139" si="120">R139+T139</f>
        <v>43.4</v>
      </c>
      <c r="R139" s="409">
        <f>SUM(R136,R138,R137)</f>
        <v>43.4</v>
      </c>
      <c r="S139" s="409">
        <f t="shared" ref="S139" si="121">SUM(S136,S138,S137)</f>
        <v>0</v>
      </c>
      <c r="T139" s="409">
        <f t="shared" ref="T139" si="122">SUM(T136,T138,T137)</f>
        <v>0</v>
      </c>
      <c r="U139" s="587">
        <f t="shared" ref="U139" si="123">V139+X139</f>
        <v>43.4</v>
      </c>
      <c r="V139" s="409">
        <f>SUM(V136,V138,V137)</f>
        <v>43.4</v>
      </c>
      <c r="W139" s="409">
        <f t="shared" ref="W139" si="124">SUM(W136,W138,W137)</f>
        <v>0</v>
      </c>
      <c r="X139" s="410">
        <f t="shared" ref="X139" si="125">SUM(X136,X138,X137)</f>
        <v>0</v>
      </c>
      <c r="Y139" s="1219"/>
      <c r="Z139" s="2435"/>
    </row>
    <row r="140" spans="1:26" ht="17.100000000000001" customHeight="1" x14ac:dyDescent="0.2">
      <c r="A140" s="2557">
        <v>3</v>
      </c>
      <c r="B140" s="3146">
        <v>2</v>
      </c>
      <c r="C140" s="2571">
        <v>2</v>
      </c>
      <c r="D140" s="3151" t="s">
        <v>606</v>
      </c>
      <c r="E140" s="3147" t="s">
        <v>604</v>
      </c>
      <c r="F140" s="2820" t="s">
        <v>529</v>
      </c>
      <c r="G140" s="3144" t="s">
        <v>607</v>
      </c>
      <c r="H140" s="376" t="s">
        <v>30</v>
      </c>
      <c r="I140" s="2385">
        <v>118.7</v>
      </c>
      <c r="J140" s="771">
        <v>118.7</v>
      </c>
      <c r="K140" s="771">
        <v>92</v>
      </c>
      <c r="L140" s="1199"/>
      <c r="M140" s="412">
        <v>161.80000000000001</v>
      </c>
      <c r="N140" s="413">
        <v>161.80000000000001</v>
      </c>
      <c r="O140" s="413">
        <v>97.3</v>
      </c>
      <c r="P140" s="425"/>
      <c r="Q140" s="412">
        <v>174.4</v>
      </c>
      <c r="R140" s="413">
        <v>174.4</v>
      </c>
      <c r="S140" s="413">
        <v>149.1</v>
      </c>
      <c r="T140" s="425"/>
      <c r="U140" s="412">
        <v>174.4</v>
      </c>
      <c r="V140" s="413">
        <v>174.4</v>
      </c>
      <c r="W140" s="413">
        <v>149.1</v>
      </c>
      <c r="X140" s="425"/>
      <c r="Y140" s="1219"/>
      <c r="Z140" s="2435"/>
    </row>
    <row r="141" spans="1:26" ht="17.100000000000001" customHeight="1" x14ac:dyDescent="0.2">
      <c r="A141" s="2558"/>
      <c r="B141" s="2599"/>
      <c r="C141" s="2556"/>
      <c r="D141" s="3159"/>
      <c r="E141" s="3148"/>
      <c r="F141" s="2493"/>
      <c r="G141" s="3145"/>
      <c r="H141" s="497" t="s">
        <v>33</v>
      </c>
      <c r="I141" s="348"/>
      <c r="J141" s="740"/>
      <c r="K141" s="1529"/>
      <c r="L141" s="1530"/>
      <c r="M141" s="389">
        <v>1.5</v>
      </c>
      <c r="N141" s="377">
        <v>1.5</v>
      </c>
      <c r="O141" s="377">
        <v>1.5</v>
      </c>
      <c r="P141" s="432"/>
      <c r="Q141" s="389"/>
      <c r="R141" s="377"/>
      <c r="S141" s="377"/>
      <c r="T141" s="390"/>
      <c r="U141" s="389"/>
      <c r="V141" s="377"/>
      <c r="W141" s="377"/>
      <c r="X141" s="390"/>
      <c r="Y141" s="1219"/>
      <c r="Z141" s="2435"/>
    </row>
    <row r="142" spans="1:26" ht="17.100000000000001" customHeight="1" x14ac:dyDescent="0.2">
      <c r="A142" s="2558"/>
      <c r="B142" s="2599"/>
      <c r="C142" s="2556"/>
      <c r="D142" s="3159"/>
      <c r="E142" s="3148"/>
      <c r="F142" s="2493"/>
      <c r="G142" s="3145"/>
      <c r="H142" s="433" t="s">
        <v>202</v>
      </c>
      <c r="I142" s="773">
        <v>42.9</v>
      </c>
      <c r="J142" s="1200">
        <v>42.9</v>
      </c>
      <c r="K142" s="1201">
        <v>13.5</v>
      </c>
      <c r="L142" s="397"/>
      <c r="M142" s="381">
        <v>53.7</v>
      </c>
      <c r="N142" s="382">
        <v>53.7</v>
      </c>
      <c r="O142" s="382">
        <v>25.7</v>
      </c>
      <c r="P142" s="1202"/>
      <c r="Q142" s="381">
        <v>53.7</v>
      </c>
      <c r="R142" s="382">
        <v>53.7</v>
      </c>
      <c r="S142" s="382">
        <v>25.7</v>
      </c>
      <c r="T142" s="368"/>
      <c r="U142" s="381">
        <v>53.7</v>
      </c>
      <c r="V142" s="382">
        <v>53.7</v>
      </c>
      <c r="W142" s="382">
        <v>25.7</v>
      </c>
      <c r="X142" s="368"/>
      <c r="Y142" s="1219"/>
      <c r="Z142" s="2435"/>
    </row>
    <row r="143" spans="1:26" ht="17.100000000000001" customHeight="1" thickBot="1" x14ac:dyDescent="0.25">
      <c r="A143" s="2558"/>
      <c r="B143" s="2599"/>
      <c r="C143" s="2556"/>
      <c r="D143" s="3159"/>
      <c r="E143" s="3148"/>
      <c r="F143" s="3160"/>
      <c r="G143" s="3152"/>
      <c r="H143" s="677" t="s">
        <v>34</v>
      </c>
      <c r="I143" s="393">
        <v>0.9</v>
      </c>
      <c r="J143" s="1203">
        <v>0.9</v>
      </c>
      <c r="K143" s="1204"/>
      <c r="L143" s="1205"/>
      <c r="M143" s="389">
        <v>0.9</v>
      </c>
      <c r="N143" s="456">
        <v>0.9</v>
      </c>
      <c r="O143" s="456"/>
      <c r="P143" s="1206"/>
      <c r="Q143" s="389">
        <v>0.9</v>
      </c>
      <c r="R143" s="456">
        <v>0.9</v>
      </c>
      <c r="S143" s="456"/>
      <c r="T143" s="386"/>
      <c r="U143" s="389"/>
      <c r="V143" s="456"/>
      <c r="W143" s="456"/>
      <c r="X143" s="386"/>
      <c r="Y143" s="1219"/>
      <c r="Z143" s="2435"/>
    </row>
    <row r="144" spans="1:26" ht="17.25" customHeight="1" thickBot="1" x14ac:dyDescent="0.25">
      <c r="A144" s="2559"/>
      <c r="B144" s="2599"/>
      <c r="C144" s="2572"/>
      <c r="D144" s="2725"/>
      <c r="E144" s="3149"/>
      <c r="F144" s="2472" t="s">
        <v>35</v>
      </c>
      <c r="G144" s="2473"/>
      <c r="H144" s="2474"/>
      <c r="I144" s="392">
        <f t="shared" si="115"/>
        <v>162.5</v>
      </c>
      <c r="J144" s="360">
        <f>SUM(J140:J143)</f>
        <v>162.5</v>
      </c>
      <c r="K144" s="360">
        <f>SUM(K140:K143)</f>
        <v>105.5</v>
      </c>
      <c r="L144" s="361">
        <f>L140+L143</f>
        <v>0</v>
      </c>
      <c r="M144" s="392">
        <f t="shared" si="117"/>
        <v>217.9</v>
      </c>
      <c r="N144" s="360">
        <f>SUM(N140:N143)</f>
        <v>217.9</v>
      </c>
      <c r="O144" s="360">
        <f>SUM(O140:O143)</f>
        <v>124.5</v>
      </c>
      <c r="P144" s="360">
        <f>P140+P143</f>
        <v>0</v>
      </c>
      <c r="Q144" s="363">
        <f t="shared" ref="Q144:Q146" si="126">R144+T144</f>
        <v>229.00000000000003</v>
      </c>
      <c r="R144" s="360">
        <f>SUM(R140:R143)</f>
        <v>229.00000000000003</v>
      </c>
      <c r="S144" s="360">
        <f>SUM(S140:S143)</f>
        <v>174.79999999999998</v>
      </c>
      <c r="T144" s="361">
        <f>T140+T143</f>
        <v>0</v>
      </c>
      <c r="U144" s="363">
        <f t="shared" ref="U144:U146" si="127">V144+X144</f>
        <v>228.10000000000002</v>
      </c>
      <c r="V144" s="360">
        <f>SUM(V140:V143)</f>
        <v>228.10000000000002</v>
      </c>
      <c r="W144" s="360">
        <f>SUM(W140:W143)</f>
        <v>174.79999999999998</v>
      </c>
      <c r="X144" s="361">
        <f>X140+X143</f>
        <v>0</v>
      </c>
      <c r="Y144" s="1219"/>
      <c r="Z144" s="2435"/>
    </row>
    <row r="145" spans="1:26" ht="13.5" thickBot="1" x14ac:dyDescent="0.25">
      <c r="A145" s="1207">
        <v>3</v>
      </c>
      <c r="B145" s="550">
        <v>2</v>
      </c>
      <c r="C145" s="2475" t="s">
        <v>608</v>
      </c>
      <c r="D145" s="2476"/>
      <c r="E145" s="2476"/>
      <c r="F145" s="2476"/>
      <c r="G145" s="2476"/>
      <c r="H145" s="2477"/>
      <c r="I145" s="462">
        <f t="shared" si="115"/>
        <v>251.8</v>
      </c>
      <c r="J145" s="463">
        <f>J139+J144</f>
        <v>251.8</v>
      </c>
      <c r="K145" s="463">
        <f>K139+K144</f>
        <v>107</v>
      </c>
      <c r="L145" s="465">
        <f>L139+L144</f>
        <v>0</v>
      </c>
      <c r="M145" s="462">
        <f t="shared" si="117"/>
        <v>261.3</v>
      </c>
      <c r="N145" s="463">
        <f>N139+N144</f>
        <v>261.3</v>
      </c>
      <c r="O145" s="463">
        <f>O139+O144</f>
        <v>124.5</v>
      </c>
      <c r="P145" s="465">
        <f>P139+P144</f>
        <v>0</v>
      </c>
      <c r="Q145" s="462">
        <f t="shared" si="126"/>
        <v>272.40000000000003</v>
      </c>
      <c r="R145" s="463">
        <f>R139+R144</f>
        <v>272.40000000000003</v>
      </c>
      <c r="S145" s="463">
        <f>S139+S144</f>
        <v>174.79999999999998</v>
      </c>
      <c r="T145" s="465">
        <f>T139+T144</f>
        <v>0</v>
      </c>
      <c r="U145" s="462">
        <f t="shared" si="127"/>
        <v>271.5</v>
      </c>
      <c r="V145" s="463">
        <f>V139+V144</f>
        <v>271.5</v>
      </c>
      <c r="W145" s="463">
        <f>W139+W144</f>
        <v>174.79999999999998</v>
      </c>
      <c r="X145" s="465">
        <f>X139+X144</f>
        <v>0</v>
      </c>
      <c r="Y145" s="1219"/>
      <c r="Z145" s="2435"/>
    </row>
    <row r="146" spans="1:26" ht="13.5" thickBot="1" x14ac:dyDescent="0.25">
      <c r="A146" s="460">
        <v>3</v>
      </c>
      <c r="B146" s="3153" t="s">
        <v>167</v>
      </c>
      <c r="C146" s="3154"/>
      <c r="D146" s="3154"/>
      <c r="E146" s="3154"/>
      <c r="F146" s="3154"/>
      <c r="G146" s="3154"/>
      <c r="H146" s="3155"/>
      <c r="I146" s="1102">
        <f t="shared" si="115"/>
        <v>294.7</v>
      </c>
      <c r="J146" s="1103">
        <f>J145+J134</f>
        <v>294.7</v>
      </c>
      <c r="K146" s="1103">
        <f>K145+K134</f>
        <v>148.9</v>
      </c>
      <c r="L146" s="1103">
        <f>L145+L134</f>
        <v>0</v>
      </c>
      <c r="M146" s="1104">
        <f t="shared" si="117"/>
        <v>316.10000000000002</v>
      </c>
      <c r="N146" s="1103">
        <f>N145+N134</f>
        <v>316.10000000000002</v>
      </c>
      <c r="O146" s="1103">
        <f>O145+O134</f>
        <v>176.7</v>
      </c>
      <c r="P146" s="1103">
        <f>P145+P134</f>
        <v>0</v>
      </c>
      <c r="Q146" s="1104">
        <f t="shared" si="126"/>
        <v>348.70000000000005</v>
      </c>
      <c r="R146" s="1103">
        <f>R145+R134</f>
        <v>348.70000000000005</v>
      </c>
      <c r="S146" s="1103">
        <f>S145+S134</f>
        <v>249.2</v>
      </c>
      <c r="T146" s="1103">
        <f>T145+T134</f>
        <v>0</v>
      </c>
      <c r="U146" s="1104">
        <f t="shared" si="127"/>
        <v>347.8</v>
      </c>
      <c r="V146" s="1103">
        <f>V145+V134</f>
        <v>347.8</v>
      </c>
      <c r="W146" s="1103">
        <f>W145+W134</f>
        <v>174.79999999999998</v>
      </c>
      <c r="X146" s="2291">
        <f>X145+X134</f>
        <v>0</v>
      </c>
      <c r="Y146" s="1219"/>
      <c r="Z146" s="2435"/>
    </row>
    <row r="147" spans="1:26" ht="15" customHeight="1" thickBot="1" x14ac:dyDescent="0.25">
      <c r="A147" s="460">
        <v>4</v>
      </c>
      <c r="B147" s="3156" t="s">
        <v>609</v>
      </c>
      <c r="C147" s="3157"/>
      <c r="D147" s="3157"/>
      <c r="E147" s="3157"/>
      <c r="F147" s="3157"/>
      <c r="G147" s="3157"/>
      <c r="H147" s="3157"/>
      <c r="I147" s="3157"/>
      <c r="J147" s="3157"/>
      <c r="K147" s="3157"/>
      <c r="L147" s="3157"/>
      <c r="M147" s="3157"/>
      <c r="N147" s="3157"/>
      <c r="O147" s="3157"/>
      <c r="P147" s="3157"/>
      <c r="Q147" s="3157"/>
      <c r="R147" s="3157"/>
      <c r="S147" s="3157"/>
      <c r="T147" s="3157"/>
      <c r="U147" s="3157"/>
      <c r="V147" s="3157"/>
      <c r="W147" s="3157"/>
      <c r="X147" s="3158"/>
      <c r="Y147" s="1219"/>
      <c r="Z147" s="2435"/>
    </row>
    <row r="148" spans="1:26" ht="17.100000000000001" customHeight="1" thickBot="1" x14ac:dyDescent="0.25">
      <c r="A148" s="2396">
        <v>4</v>
      </c>
      <c r="B148" s="403">
        <v>1</v>
      </c>
      <c r="C148" s="2590" t="s">
        <v>610</v>
      </c>
      <c r="D148" s="2591"/>
      <c r="E148" s="2591"/>
      <c r="F148" s="2591"/>
      <c r="G148" s="2591"/>
      <c r="H148" s="2591"/>
      <c r="I148" s="2591"/>
      <c r="J148" s="2591"/>
      <c r="K148" s="2591"/>
      <c r="L148" s="2591"/>
      <c r="M148" s="2591"/>
      <c r="N148" s="2591"/>
      <c r="O148" s="2591"/>
      <c r="P148" s="2591"/>
      <c r="Q148" s="2591"/>
      <c r="R148" s="2591"/>
      <c r="S148" s="2591"/>
      <c r="T148" s="2591"/>
      <c r="U148" s="2591"/>
      <c r="V148" s="2591"/>
      <c r="W148" s="2591"/>
      <c r="X148" s="2592"/>
      <c r="Y148" s="1219"/>
      <c r="Z148" s="2435"/>
    </row>
    <row r="149" spans="1:26" ht="18.75" customHeight="1" x14ac:dyDescent="0.2">
      <c r="A149" s="2557">
        <v>4</v>
      </c>
      <c r="B149" s="2542">
        <v>1</v>
      </c>
      <c r="C149" s="2531">
        <v>1</v>
      </c>
      <c r="D149" s="2529" t="s">
        <v>611</v>
      </c>
      <c r="E149" s="2623" t="s">
        <v>588</v>
      </c>
      <c r="F149" s="3150" t="s">
        <v>612</v>
      </c>
      <c r="G149" s="3150" t="s">
        <v>613</v>
      </c>
      <c r="H149" s="364" t="s">
        <v>202</v>
      </c>
      <c r="I149" s="412">
        <v>60</v>
      </c>
      <c r="J149" s="2383">
        <v>60</v>
      </c>
      <c r="K149" s="474">
        <v>0</v>
      </c>
      <c r="L149" s="475">
        <v>0</v>
      </c>
      <c r="M149" s="412"/>
      <c r="N149" s="2383"/>
      <c r="O149" s="474">
        <v>0</v>
      </c>
      <c r="P149" s="475">
        <v>0</v>
      </c>
      <c r="Q149" s="412"/>
      <c r="R149" s="2383"/>
      <c r="S149" s="474">
        <v>0</v>
      </c>
      <c r="T149" s="475">
        <v>0</v>
      </c>
      <c r="U149" s="412"/>
      <c r="V149" s="2383"/>
      <c r="W149" s="474">
        <v>0</v>
      </c>
      <c r="X149" s="475">
        <v>0</v>
      </c>
      <c r="Y149" s="1219"/>
      <c r="Z149" s="2435"/>
    </row>
    <row r="150" spans="1:26" ht="16.5" customHeight="1" thickBot="1" x14ac:dyDescent="0.25">
      <c r="A150" s="2558"/>
      <c r="B150" s="2542"/>
      <c r="C150" s="2531"/>
      <c r="D150" s="2529"/>
      <c r="E150" s="2623"/>
      <c r="F150" s="2744"/>
      <c r="G150" s="2744"/>
      <c r="H150" s="1110" t="s">
        <v>30</v>
      </c>
      <c r="I150" s="1208">
        <v>97.5</v>
      </c>
      <c r="J150" s="385">
        <v>97.5</v>
      </c>
      <c r="K150" s="385"/>
      <c r="L150" s="1209"/>
      <c r="M150" s="384">
        <v>143.6</v>
      </c>
      <c r="N150" s="385">
        <v>143.6</v>
      </c>
      <c r="O150" s="385"/>
      <c r="P150" s="1209"/>
      <c r="Q150" s="372">
        <v>143.6</v>
      </c>
      <c r="R150" s="380">
        <v>143.6</v>
      </c>
      <c r="S150" s="380"/>
      <c r="T150" s="383"/>
      <c r="U150" s="372">
        <v>143.6</v>
      </c>
      <c r="V150" s="380">
        <v>143.6</v>
      </c>
      <c r="W150" s="479"/>
      <c r="X150" s="480"/>
      <c r="Y150" s="1219"/>
      <c r="Z150" s="2435"/>
    </row>
    <row r="151" spans="1:26" ht="18" customHeight="1" thickBot="1" x14ac:dyDescent="0.25">
      <c r="A151" s="2559"/>
      <c r="B151" s="2545"/>
      <c r="C151" s="2530"/>
      <c r="D151" s="2724"/>
      <c r="E151" s="2622"/>
      <c r="F151" s="2516" t="s">
        <v>35</v>
      </c>
      <c r="G151" s="2517"/>
      <c r="H151" s="2518"/>
      <c r="I151" s="392">
        <f t="shared" ref="I151" si="128">J151+L151</f>
        <v>157.5</v>
      </c>
      <c r="J151" s="360">
        <f>J149+J150</f>
        <v>157.5</v>
      </c>
      <c r="K151" s="360">
        <f>K149+K150</f>
        <v>0</v>
      </c>
      <c r="L151" s="360">
        <f>L149+L150</f>
        <v>0</v>
      </c>
      <c r="M151" s="587">
        <f t="shared" ref="M151" si="129">N151+P151</f>
        <v>143.6</v>
      </c>
      <c r="N151" s="360">
        <f>N149+N150</f>
        <v>143.6</v>
      </c>
      <c r="O151" s="360">
        <f>O149+O150</f>
        <v>0</v>
      </c>
      <c r="P151" s="360">
        <f>P149+P150</f>
        <v>0</v>
      </c>
      <c r="Q151" s="587">
        <f t="shared" ref="Q151" si="130">R151+T151</f>
        <v>143.6</v>
      </c>
      <c r="R151" s="360">
        <f>R149+R150</f>
        <v>143.6</v>
      </c>
      <c r="S151" s="360">
        <f>S149+S150</f>
        <v>0</v>
      </c>
      <c r="T151" s="361">
        <f>T149+T150</f>
        <v>0</v>
      </c>
      <c r="U151" s="587">
        <f t="shared" ref="U151" si="131">V151+X151</f>
        <v>143.6</v>
      </c>
      <c r="V151" s="360">
        <f>V149+V150</f>
        <v>143.6</v>
      </c>
      <c r="W151" s="360">
        <f>W149+W150</f>
        <v>0</v>
      </c>
      <c r="X151" s="361">
        <f>X149+X150</f>
        <v>0</v>
      </c>
      <c r="Y151" s="1219"/>
      <c r="Z151" s="2435"/>
    </row>
    <row r="152" spans="1:26" ht="23.25" customHeight="1" thickBot="1" x14ac:dyDescent="0.25">
      <c r="A152" s="2557">
        <v>4</v>
      </c>
      <c r="B152" s="3146">
        <v>1</v>
      </c>
      <c r="C152" s="2571">
        <v>2</v>
      </c>
      <c r="D152" s="3151" t="s">
        <v>614</v>
      </c>
      <c r="E152" s="3147">
        <v>7</v>
      </c>
      <c r="F152" s="2409" t="s">
        <v>612</v>
      </c>
      <c r="G152" s="2432" t="s">
        <v>615</v>
      </c>
      <c r="H152" s="376" t="s">
        <v>33</v>
      </c>
      <c r="I152" s="412">
        <f>J152+L152</f>
        <v>42.800000000000004</v>
      </c>
      <c r="J152" s="413">
        <f>40.1+2.7</f>
        <v>42.800000000000004</v>
      </c>
      <c r="K152" s="413">
        <v>0.8</v>
      </c>
      <c r="L152" s="425"/>
      <c r="M152" s="412">
        <v>43</v>
      </c>
      <c r="N152" s="413">
        <v>43</v>
      </c>
      <c r="O152" s="413">
        <v>0.8</v>
      </c>
      <c r="P152" s="425"/>
      <c r="Q152" s="412">
        <v>43</v>
      </c>
      <c r="R152" s="413">
        <v>43</v>
      </c>
      <c r="S152" s="413">
        <v>0.8</v>
      </c>
      <c r="T152" s="425"/>
      <c r="U152" s="412">
        <v>43</v>
      </c>
      <c r="V152" s="413">
        <v>43</v>
      </c>
      <c r="W152" s="413">
        <v>0.8</v>
      </c>
      <c r="X152" s="425"/>
      <c r="Y152" s="1219"/>
      <c r="Z152" s="2435"/>
    </row>
    <row r="153" spans="1:26" ht="21.75" customHeight="1" thickBot="1" x14ac:dyDescent="0.25">
      <c r="A153" s="2559"/>
      <c r="B153" s="2600"/>
      <c r="C153" s="2572"/>
      <c r="D153" s="2725"/>
      <c r="E153" s="3149"/>
      <c r="F153" s="2472" t="s">
        <v>35</v>
      </c>
      <c r="G153" s="2473"/>
      <c r="H153" s="2474"/>
      <c r="I153" s="392">
        <f t="shared" ref="I153:I162" si="132">J153+L153</f>
        <v>42.800000000000004</v>
      </c>
      <c r="J153" s="360">
        <f>J152</f>
        <v>42.800000000000004</v>
      </c>
      <c r="K153" s="360">
        <f>K152</f>
        <v>0.8</v>
      </c>
      <c r="L153" s="361">
        <f>L152</f>
        <v>0</v>
      </c>
      <c r="M153" s="392">
        <f t="shared" ref="M153:M162" si="133">N153+P153</f>
        <v>43</v>
      </c>
      <c r="N153" s="360">
        <f>N152</f>
        <v>43</v>
      </c>
      <c r="O153" s="360">
        <v>0.8</v>
      </c>
      <c r="P153" s="360">
        <f>P152</f>
        <v>0</v>
      </c>
      <c r="Q153" s="363">
        <f t="shared" ref="Q153" si="134">R153+T153</f>
        <v>43</v>
      </c>
      <c r="R153" s="360">
        <f>R152</f>
        <v>43</v>
      </c>
      <c r="S153" s="360">
        <f>S152</f>
        <v>0.8</v>
      </c>
      <c r="T153" s="361">
        <f>T152</f>
        <v>0</v>
      </c>
      <c r="U153" s="363">
        <f t="shared" ref="U153:U162" si="135">V153+X153</f>
        <v>43</v>
      </c>
      <c r="V153" s="360">
        <f>V152</f>
        <v>43</v>
      </c>
      <c r="W153" s="360">
        <f>W152</f>
        <v>0.8</v>
      </c>
      <c r="X153" s="361">
        <f>X152</f>
        <v>0</v>
      </c>
      <c r="Y153" s="1219"/>
      <c r="Z153" s="2435"/>
    </row>
    <row r="154" spans="1:26" ht="21" customHeight="1" thickBot="1" x14ac:dyDescent="0.25">
      <c r="A154" s="2557">
        <v>4</v>
      </c>
      <c r="B154" s="2542">
        <v>1</v>
      </c>
      <c r="C154" s="2531">
        <v>3</v>
      </c>
      <c r="D154" s="2529" t="s">
        <v>616</v>
      </c>
      <c r="E154" s="2623" t="s">
        <v>588</v>
      </c>
      <c r="F154" s="1210" t="s">
        <v>612</v>
      </c>
      <c r="G154" s="2401" t="s">
        <v>617</v>
      </c>
      <c r="H154" s="2393" t="s">
        <v>30</v>
      </c>
      <c r="I154" s="412">
        <v>94.7</v>
      </c>
      <c r="J154" s="349">
        <v>94.7</v>
      </c>
      <c r="K154" s="481">
        <v>0</v>
      </c>
      <c r="L154" s="482">
        <v>0</v>
      </c>
      <c r="M154" s="412">
        <v>100</v>
      </c>
      <c r="N154" s="349">
        <v>100</v>
      </c>
      <c r="O154" s="481">
        <v>0</v>
      </c>
      <c r="P154" s="482">
        <v>0</v>
      </c>
      <c r="Q154" s="412">
        <v>100</v>
      </c>
      <c r="R154" s="349">
        <v>100</v>
      </c>
      <c r="S154" s="1211">
        <v>0</v>
      </c>
      <c r="T154" s="482">
        <v>0</v>
      </c>
      <c r="U154" s="412"/>
      <c r="V154" s="349"/>
      <c r="W154" s="1211">
        <v>0</v>
      </c>
      <c r="X154" s="482">
        <v>0</v>
      </c>
      <c r="Y154" s="1219"/>
      <c r="Z154" s="2435"/>
    </row>
    <row r="155" spans="1:26" ht="21.4" customHeight="1" thickBot="1" x14ac:dyDescent="0.25">
      <c r="A155" s="2559"/>
      <c r="B155" s="2545"/>
      <c r="C155" s="2530"/>
      <c r="D155" s="2724"/>
      <c r="E155" s="2622"/>
      <c r="F155" s="2516" t="s">
        <v>35</v>
      </c>
      <c r="G155" s="2517"/>
      <c r="H155" s="2518"/>
      <c r="I155" s="392">
        <f t="shared" ref="I155" si="136">J155+L155</f>
        <v>94.7</v>
      </c>
      <c r="J155" s="409">
        <f>SUM(J154)</f>
        <v>94.7</v>
      </c>
      <c r="K155" s="409">
        <f>SUM(K154)</f>
        <v>0</v>
      </c>
      <c r="L155" s="409">
        <f>SUM(L154)</f>
        <v>0</v>
      </c>
      <c r="M155" s="587">
        <f t="shared" ref="M155" si="137">N155+P155</f>
        <v>100</v>
      </c>
      <c r="N155" s="409">
        <f>SUM(N154)</f>
        <v>100</v>
      </c>
      <c r="O155" s="409">
        <f>SUM(O154)</f>
        <v>0</v>
      </c>
      <c r="P155" s="409">
        <f>SUM(P154)</f>
        <v>0</v>
      </c>
      <c r="Q155" s="587">
        <f t="shared" ref="Q155" si="138">R155+T155</f>
        <v>100</v>
      </c>
      <c r="R155" s="409">
        <f>SUM(R154)</f>
        <v>100</v>
      </c>
      <c r="S155" s="409">
        <f>SUM(S154)</f>
        <v>0</v>
      </c>
      <c r="T155" s="410">
        <f>SUM(T154)</f>
        <v>0</v>
      </c>
      <c r="U155" s="587">
        <f t="shared" ref="U155" si="139">V155+X155</f>
        <v>0</v>
      </c>
      <c r="V155" s="409">
        <f>SUM(V154)</f>
        <v>0</v>
      </c>
      <c r="W155" s="409">
        <f>SUM(W154)</f>
        <v>0</v>
      </c>
      <c r="X155" s="410">
        <f>SUM(X154)</f>
        <v>0</v>
      </c>
      <c r="Y155" s="1219"/>
      <c r="Z155" s="2435"/>
    </row>
    <row r="156" spans="1:26" ht="20.25" customHeight="1" x14ac:dyDescent="0.2">
      <c r="A156" s="2557">
        <v>4</v>
      </c>
      <c r="B156" s="3146">
        <v>1</v>
      </c>
      <c r="C156" s="2571">
        <v>4</v>
      </c>
      <c r="D156" s="2495" t="s">
        <v>618</v>
      </c>
      <c r="E156" s="3147">
        <v>7</v>
      </c>
      <c r="F156" s="2820" t="s">
        <v>612</v>
      </c>
      <c r="G156" s="3144" t="s">
        <v>619</v>
      </c>
      <c r="H156" s="376" t="s">
        <v>30</v>
      </c>
      <c r="I156" s="412">
        <v>50</v>
      </c>
      <c r="J156" s="413">
        <v>50</v>
      </c>
      <c r="K156" s="413">
        <v>0</v>
      </c>
      <c r="L156" s="425"/>
      <c r="M156" s="1548">
        <v>100</v>
      </c>
      <c r="N156" s="1549">
        <v>100</v>
      </c>
      <c r="O156" s="413">
        <v>0</v>
      </c>
      <c r="P156" s="425"/>
      <c r="Q156" s="412">
        <v>75</v>
      </c>
      <c r="R156" s="413">
        <v>75</v>
      </c>
      <c r="S156" s="413">
        <v>0</v>
      </c>
      <c r="T156" s="425"/>
      <c r="U156" s="412">
        <v>100</v>
      </c>
      <c r="V156" s="413">
        <v>100</v>
      </c>
      <c r="W156" s="413">
        <v>0</v>
      </c>
      <c r="X156" s="425"/>
      <c r="Y156" s="1219"/>
      <c r="Z156" s="2435"/>
    </row>
    <row r="157" spans="1:26" ht="16.5" customHeight="1" thickBot="1" x14ac:dyDescent="0.25">
      <c r="A157" s="2558"/>
      <c r="B157" s="2599"/>
      <c r="C157" s="2556"/>
      <c r="D157" s="2496"/>
      <c r="E157" s="3148"/>
      <c r="F157" s="2493"/>
      <c r="G157" s="3145"/>
      <c r="H157" s="433" t="s">
        <v>202</v>
      </c>
      <c r="I157" s="381">
        <v>25</v>
      </c>
      <c r="J157" s="382">
        <v>25</v>
      </c>
      <c r="K157" s="1202">
        <v>0</v>
      </c>
      <c r="L157" s="368"/>
      <c r="M157" s="2017">
        <f>N157+P157</f>
        <v>50</v>
      </c>
      <c r="N157" s="1553">
        <v>50</v>
      </c>
      <c r="O157" s="382">
        <v>0</v>
      </c>
      <c r="P157" s="1202"/>
      <c r="Q157" s="381">
        <v>25</v>
      </c>
      <c r="R157" s="382">
        <v>25</v>
      </c>
      <c r="S157" s="382">
        <v>0</v>
      </c>
      <c r="T157" s="368"/>
      <c r="U157" s="381"/>
      <c r="V157" s="382"/>
      <c r="W157" s="382">
        <v>0</v>
      </c>
      <c r="X157" s="368"/>
      <c r="Y157" s="1219"/>
      <c r="Z157" s="2435"/>
    </row>
    <row r="158" spans="1:26" ht="17.850000000000001" customHeight="1" thickBot="1" x14ac:dyDescent="0.25">
      <c r="A158" s="2559"/>
      <c r="B158" s="2600"/>
      <c r="C158" s="2572"/>
      <c r="D158" s="2497"/>
      <c r="E158" s="3149"/>
      <c r="F158" s="2472" t="s">
        <v>35</v>
      </c>
      <c r="G158" s="2473"/>
      <c r="H158" s="2474"/>
      <c r="I158" s="392">
        <f t="shared" ref="I158" si="140">J158+L158</f>
        <v>75</v>
      </c>
      <c r="J158" s="360">
        <f>J156+J157</f>
        <v>75</v>
      </c>
      <c r="K158" s="360">
        <f>K156+K157</f>
        <v>0</v>
      </c>
      <c r="L158" s="361">
        <f>L156</f>
        <v>0</v>
      </c>
      <c r="M158" s="392">
        <f t="shared" ref="M158" si="141">N158+P158</f>
        <v>150</v>
      </c>
      <c r="N158" s="360">
        <f>N156+N157</f>
        <v>150</v>
      </c>
      <c r="O158" s="360">
        <f>O156+O157</f>
        <v>0</v>
      </c>
      <c r="P158" s="360">
        <f>P156+P157</f>
        <v>0</v>
      </c>
      <c r="Q158" s="363">
        <f t="shared" ref="Q158:Q162" si="142">R158+T158</f>
        <v>100</v>
      </c>
      <c r="R158" s="360">
        <f>R156+R157</f>
        <v>100</v>
      </c>
      <c r="S158" s="360">
        <f>S156+S157</f>
        <v>0</v>
      </c>
      <c r="T158" s="361">
        <f>T156+T157</f>
        <v>0</v>
      </c>
      <c r="U158" s="363">
        <f t="shared" ref="U158" si="143">V158+X158</f>
        <v>100</v>
      </c>
      <c r="V158" s="360">
        <f>V156+V157</f>
        <v>100</v>
      </c>
      <c r="W158" s="360">
        <f>W156+W157</f>
        <v>0</v>
      </c>
      <c r="X158" s="361">
        <f>X156+X157</f>
        <v>0</v>
      </c>
      <c r="Y158" s="1219"/>
      <c r="Z158" s="2435"/>
    </row>
    <row r="159" spans="1:26" ht="27" customHeight="1" thickBot="1" x14ac:dyDescent="0.25">
      <c r="A159" s="2557">
        <v>4</v>
      </c>
      <c r="B159" s="2542">
        <v>1</v>
      </c>
      <c r="C159" s="2531">
        <v>5</v>
      </c>
      <c r="D159" s="2529" t="s">
        <v>620</v>
      </c>
      <c r="E159" s="2623" t="s">
        <v>588</v>
      </c>
      <c r="F159" s="1210" t="s">
        <v>621</v>
      </c>
      <c r="G159" s="2401" t="s">
        <v>605</v>
      </c>
      <c r="H159" s="2393" t="s">
        <v>30</v>
      </c>
      <c r="I159" s="2385">
        <v>42.6</v>
      </c>
      <c r="J159" s="2383">
        <v>42.6</v>
      </c>
      <c r="K159" s="1212">
        <v>0</v>
      </c>
      <c r="L159" s="1213">
        <v>0</v>
      </c>
      <c r="M159" s="412"/>
      <c r="N159" s="349"/>
      <c r="O159" s="481">
        <v>0</v>
      </c>
      <c r="P159" s="482">
        <v>0</v>
      </c>
      <c r="Q159" s="412"/>
      <c r="R159" s="349"/>
      <c r="S159" s="481">
        <v>0</v>
      </c>
      <c r="T159" s="482">
        <v>0</v>
      </c>
      <c r="U159" s="412"/>
      <c r="V159" s="349"/>
      <c r="W159" s="1211">
        <v>0</v>
      </c>
      <c r="X159" s="482">
        <v>0</v>
      </c>
      <c r="Y159" s="1219"/>
      <c r="Z159" s="2435"/>
    </row>
    <row r="160" spans="1:26" ht="27" customHeight="1" thickBot="1" x14ac:dyDescent="0.25">
      <c r="A160" s="2559"/>
      <c r="B160" s="2545"/>
      <c r="C160" s="2530"/>
      <c r="D160" s="2724"/>
      <c r="E160" s="2622"/>
      <c r="F160" s="2516" t="s">
        <v>35</v>
      </c>
      <c r="G160" s="2517"/>
      <c r="H160" s="2518"/>
      <c r="I160" s="359">
        <f>J160+L160</f>
        <v>42.6</v>
      </c>
      <c r="J160" s="360">
        <f>J159</f>
        <v>42.6</v>
      </c>
      <c r="K160" s="360">
        <f>K159</f>
        <v>0</v>
      </c>
      <c r="L160" s="361">
        <f>L159</f>
        <v>0</v>
      </c>
      <c r="M160" s="392">
        <f t="shared" ref="M160" si="144">N160+P160</f>
        <v>0</v>
      </c>
      <c r="N160" s="409">
        <f>SUM(N159)</f>
        <v>0</v>
      </c>
      <c r="O160" s="409">
        <f>SUM(O159)</f>
        <v>0</v>
      </c>
      <c r="P160" s="409">
        <f>SUM(P159)</f>
        <v>0</v>
      </c>
      <c r="Q160" s="587">
        <f t="shared" ref="Q160" si="145">R160+T160</f>
        <v>0</v>
      </c>
      <c r="R160" s="409">
        <f>SUM(R159)</f>
        <v>0</v>
      </c>
      <c r="S160" s="409">
        <f>SUM(S159)</f>
        <v>0</v>
      </c>
      <c r="T160" s="409">
        <f>SUM(T159)</f>
        <v>0</v>
      </c>
      <c r="U160" s="587">
        <f t="shared" ref="U160" si="146">V160+X160</f>
        <v>0</v>
      </c>
      <c r="V160" s="409">
        <f>SUM(V159)</f>
        <v>0</v>
      </c>
      <c r="W160" s="409">
        <f>SUM(W159)</f>
        <v>0</v>
      </c>
      <c r="X160" s="410">
        <f>SUM(X159)</f>
        <v>0</v>
      </c>
      <c r="Y160" s="1219"/>
      <c r="Z160" s="2435"/>
    </row>
    <row r="161" spans="1:28" ht="13.5" thickBot="1" x14ac:dyDescent="0.25">
      <c r="A161" s="470">
        <v>4</v>
      </c>
      <c r="B161" s="599">
        <v>1</v>
      </c>
      <c r="C161" s="2475" t="s">
        <v>608</v>
      </c>
      <c r="D161" s="2476"/>
      <c r="E161" s="2476"/>
      <c r="F161" s="2476"/>
      <c r="G161" s="2476"/>
      <c r="H161" s="2477"/>
      <c r="I161" s="406">
        <f t="shared" si="132"/>
        <v>412.6</v>
      </c>
      <c r="J161" s="463">
        <f>J151+J153+J155+J158+J160</f>
        <v>412.6</v>
      </c>
      <c r="K161" s="463">
        <f t="shared" ref="K161:L161" si="147">K151+K153+K155+K158+K160</f>
        <v>0.8</v>
      </c>
      <c r="L161" s="463">
        <f t="shared" si="147"/>
        <v>0</v>
      </c>
      <c r="M161" s="406">
        <f t="shared" si="133"/>
        <v>436.6</v>
      </c>
      <c r="N161" s="463">
        <f>N151+N153+N155+N158+N160</f>
        <v>436.6</v>
      </c>
      <c r="O161" s="463">
        <f t="shared" ref="O161:P161" si="148">O151+O153+O155+O158+O160</f>
        <v>0.8</v>
      </c>
      <c r="P161" s="463">
        <f t="shared" si="148"/>
        <v>0</v>
      </c>
      <c r="Q161" s="462">
        <f t="shared" si="142"/>
        <v>386.6</v>
      </c>
      <c r="R161" s="463">
        <f>R151+R153+R155+R158+R160</f>
        <v>386.6</v>
      </c>
      <c r="S161" s="463">
        <f t="shared" ref="S161:T161" si="149">S151+S153+S155+S158+S160</f>
        <v>0.8</v>
      </c>
      <c r="T161" s="463">
        <f t="shared" si="149"/>
        <v>0</v>
      </c>
      <c r="U161" s="406">
        <f t="shared" si="135"/>
        <v>286.60000000000002</v>
      </c>
      <c r="V161" s="463">
        <f>V151+V153+V155+V158+V160</f>
        <v>286.60000000000002</v>
      </c>
      <c r="W161" s="463">
        <f t="shared" ref="W161:X161" si="150">W151+W153+W155+W158+W160</f>
        <v>0.8</v>
      </c>
      <c r="X161" s="465">
        <f t="shared" si="150"/>
        <v>0</v>
      </c>
      <c r="Y161" s="1219"/>
      <c r="Z161" s="2435"/>
    </row>
    <row r="162" spans="1:28" ht="13.5" thickBot="1" x14ac:dyDescent="0.25">
      <c r="A162" s="460">
        <v>4</v>
      </c>
      <c r="B162" s="2478" t="s">
        <v>167</v>
      </c>
      <c r="C162" s="2479"/>
      <c r="D162" s="2479"/>
      <c r="E162" s="2479"/>
      <c r="F162" s="2479"/>
      <c r="G162" s="2479"/>
      <c r="H162" s="2480"/>
      <c r="I162" s="604">
        <f t="shared" si="132"/>
        <v>412.6</v>
      </c>
      <c r="J162" s="467">
        <f>J161</f>
        <v>412.6</v>
      </c>
      <c r="K162" s="467">
        <f>K161</f>
        <v>0.8</v>
      </c>
      <c r="L162" s="468">
        <f>L161</f>
        <v>0</v>
      </c>
      <c r="M162" s="606">
        <f t="shared" si="133"/>
        <v>436.6</v>
      </c>
      <c r="N162" s="467">
        <f>N161</f>
        <v>436.6</v>
      </c>
      <c r="O162" s="467">
        <f>O161</f>
        <v>0.8</v>
      </c>
      <c r="P162" s="468">
        <f>P161</f>
        <v>0</v>
      </c>
      <c r="Q162" s="606">
        <f t="shared" si="142"/>
        <v>386.6</v>
      </c>
      <c r="R162" s="467">
        <f>R161</f>
        <v>386.6</v>
      </c>
      <c r="S162" s="467">
        <f>S161</f>
        <v>0.8</v>
      </c>
      <c r="T162" s="469">
        <f>T161</f>
        <v>0</v>
      </c>
      <c r="U162" s="606">
        <f t="shared" si="135"/>
        <v>286.60000000000002</v>
      </c>
      <c r="V162" s="467">
        <f>V161</f>
        <v>286.60000000000002</v>
      </c>
      <c r="W162" s="467">
        <f>W161</f>
        <v>0.8</v>
      </c>
      <c r="X162" s="469">
        <f>X161</f>
        <v>0</v>
      </c>
      <c r="Y162" s="1219"/>
      <c r="Z162" s="2435"/>
    </row>
    <row r="163" spans="1:28" ht="13.5" thickBot="1" x14ac:dyDescent="0.25">
      <c r="A163" s="3141" t="s">
        <v>208</v>
      </c>
      <c r="B163" s="3142"/>
      <c r="C163" s="3142"/>
      <c r="D163" s="3142"/>
      <c r="E163" s="3142"/>
      <c r="F163" s="3142"/>
      <c r="G163" s="3142"/>
      <c r="H163" s="3143"/>
      <c r="I163" s="1214">
        <f t="shared" ref="I163:I173" si="151">SUM(J163,L163)</f>
        <v>26965</v>
      </c>
      <c r="J163" s="1215">
        <f>J146+J129+J162+J39</f>
        <v>26648.6</v>
      </c>
      <c r="K163" s="1215">
        <f>K146+K129+K162+K39</f>
        <v>4489.7</v>
      </c>
      <c r="L163" s="1216">
        <f>L146+L129+L162+L39</f>
        <v>316.39999999999998</v>
      </c>
      <c r="M163" s="1217">
        <f>N163+P163</f>
        <v>29430.5</v>
      </c>
      <c r="N163" s="1215">
        <f>N146+N129+N162+N39</f>
        <v>28964</v>
      </c>
      <c r="O163" s="1215">
        <f>O146+O129+O162+O39</f>
        <v>5638.7</v>
      </c>
      <c r="P163" s="1215">
        <f>P146+P129+P162+P39</f>
        <v>466.5</v>
      </c>
      <c r="Q163" s="1217">
        <f>R163+T163</f>
        <v>29991.899999999998</v>
      </c>
      <c r="R163" s="1215">
        <f>R146+R129+R162+R39</f>
        <v>29413.599999999999</v>
      </c>
      <c r="S163" s="1215">
        <f>S146+S129+S162+S39</f>
        <v>5930</v>
      </c>
      <c r="T163" s="1218">
        <f>T146+T129+T162+T39</f>
        <v>578.29999999999995</v>
      </c>
      <c r="U163" s="1217">
        <f>V163+X163</f>
        <v>29229.9</v>
      </c>
      <c r="V163" s="1215">
        <f>V146+V129+V162+V39</f>
        <v>29229.9</v>
      </c>
      <c r="W163" s="1215">
        <f>W146+W129+W162+W39</f>
        <v>5857.5000000000009</v>
      </c>
      <c r="X163" s="1218">
        <f>X146+X129+X162+X39</f>
        <v>0</v>
      </c>
      <c r="Y163" s="1219"/>
      <c r="Z163" s="2435"/>
      <c r="AA163" s="1219"/>
      <c r="AB163" s="1219"/>
    </row>
    <row r="164" spans="1:28" x14ac:dyDescent="0.2">
      <c r="A164" s="3133" t="s">
        <v>209</v>
      </c>
      <c r="B164" s="3134"/>
      <c r="C164" s="3134"/>
      <c r="D164" s="3134"/>
      <c r="E164" s="3134"/>
      <c r="F164" s="3134"/>
      <c r="G164" s="3134"/>
      <c r="H164" s="3134"/>
      <c r="I164" s="1220">
        <f t="shared" si="151"/>
        <v>5372.0000000000009</v>
      </c>
      <c r="J164" s="1221">
        <f>J22+J24+J31+J33+J45+J50+J56+J64+J67+J71+J75+J89+J92+J95+J101+J103+J105+J114+J119+J123+J125+J136+J140+J156+J15+J150+J154+J78+J80+J81+J82+J83+J84+J85+J110+J159+J138</f>
        <v>5210.2000000000007</v>
      </c>
      <c r="K164" s="1221">
        <f t="shared" ref="K164:L164" si="152">K22+K24+K31+K33+K45+K50+K56+K64+K67+K71+K75+K89+K92+K95+K101+K103+K105+K114+K119+K123+K125+K136+K140+K156+K15+K150+K154+K78+K80+K81+K82+K83+K84+K85+K110+K159+K138</f>
        <v>2091.1</v>
      </c>
      <c r="L164" s="1221">
        <f t="shared" si="152"/>
        <v>161.79999999999998</v>
      </c>
      <c r="M164" s="1220">
        <f t="shared" ref="M164:M173" si="153">SUM(N164,P164)</f>
        <v>6724.7</v>
      </c>
      <c r="N164" s="1221">
        <f>N22+N24+N31+N33+N45+N50+N56+N64+N67+N71+N75+N89+N92+N95+N101+N103+N105+N114+N119+N123+N125+N136+N140+N156+N15+N150+N154+N78+N80+N81+N82+N83+N84+N85+N110+N159+N138</f>
        <v>6389</v>
      </c>
      <c r="O164" s="1221">
        <f t="shared" ref="O164:P164" si="154">O22+O24+O31+O33+O45+O50+O56+O64+O67+O71+O75+O89+O92+O95+O101+O103+O105+O114+O119+O123+O125+O136+O140+O156+O15+O150+O154+O78+O80+O81+O82+O83+O84+O85+O110+O159+O138</f>
        <v>2782.1000000000004</v>
      </c>
      <c r="P164" s="1221">
        <f t="shared" si="154"/>
        <v>335.70000000000005</v>
      </c>
      <c r="Q164" s="1220">
        <f t="shared" ref="Q164:Q173" si="155">SUM(R164,T164)</f>
        <v>7447.0999999999995</v>
      </c>
      <c r="R164" s="1221">
        <f>R22+R24+R31+R33+R45+R50+R56+R64+R67+R71+R75+R89+R92+R95+R101+R103+R105+R114+R119+R123+R125+R136+R140+R156+R15+R150+R154+R78+R80+R81+R82+R83+R84+R85+R110+R159+R138</f>
        <v>7146.9999999999991</v>
      </c>
      <c r="S164" s="1221">
        <f t="shared" ref="S164:T164" si="156">S22+S24+S31+S33+S45+S50+S56+S64+S67+S71+S75+S89+S92+S95+S101+S103+S105+S114+S119+S123+S125+S136+S140+S156+S15+S150+S154+S78+S80+S81+S82+S83+S84+S85+S110+S159+S138</f>
        <v>3062.8999999999996</v>
      </c>
      <c r="T164" s="1221">
        <f t="shared" si="156"/>
        <v>300.10000000000002</v>
      </c>
      <c r="U164" s="1220">
        <f t="shared" ref="U164:U173" si="157">SUM(V164,X164)</f>
        <v>7019.7999999999993</v>
      </c>
      <c r="V164" s="1221">
        <f>V22+V24+V31+V33+V45+V50+V56+V64+V67+V71+V75+V89+V92+V95+V101+V103+V105+V114+V119+V123+V125+V136+V140+V156+V15+V150+V154+V78+V80+V81+V82+V83+V84+V85+V110+V159+V138</f>
        <v>7019.7999999999993</v>
      </c>
      <c r="W164" s="1221">
        <f t="shared" ref="W164:X164" si="158">W22+W24+W31+W33+W45+W50+W56+W64+W67+W71+W75+W89+W92+W95+W101+W103+W105+W114+W119+W123+W125+W136+W140+W156+W15+W150+W154+W78+W80+W81+W82+W83+W84+W85+W110+W159+W138</f>
        <v>3060.7999999999997</v>
      </c>
      <c r="X164" s="2374">
        <f t="shared" si="158"/>
        <v>0</v>
      </c>
      <c r="Y164" s="1219"/>
      <c r="Z164" s="2435"/>
      <c r="AA164" s="1219"/>
      <c r="AB164" s="1219"/>
    </row>
    <row r="165" spans="1:28" x14ac:dyDescent="0.2">
      <c r="A165" s="3133" t="s">
        <v>622</v>
      </c>
      <c r="B165" s="3134"/>
      <c r="C165" s="3134"/>
      <c r="D165" s="3134"/>
      <c r="E165" s="3134"/>
      <c r="F165" s="3134"/>
      <c r="G165" s="3134"/>
      <c r="H165" s="3134"/>
      <c r="I165" s="1222">
        <f t="shared" si="151"/>
        <v>15853.499999999998</v>
      </c>
      <c r="J165" s="1223">
        <f>J12+J17+J34+J94+J108</f>
        <v>15853.499999999998</v>
      </c>
      <c r="K165" s="1223">
        <f>K12+K17+K34+K94+K108</f>
        <v>0</v>
      </c>
      <c r="L165" s="1223">
        <f>L12+L17+L34+L94+L108</f>
        <v>0</v>
      </c>
      <c r="M165" s="1222">
        <f t="shared" si="153"/>
        <v>16371.2</v>
      </c>
      <c r="N165" s="1223">
        <f>N12+N17+N34+N94+N108</f>
        <v>16371.2</v>
      </c>
      <c r="O165" s="1223">
        <f>O12+O17+O34+O94+O108</f>
        <v>0</v>
      </c>
      <c r="P165" s="1223">
        <f>P12+P17+P34+P94+P108</f>
        <v>0</v>
      </c>
      <c r="Q165" s="1222">
        <f t="shared" si="155"/>
        <v>16371.2</v>
      </c>
      <c r="R165" s="1223">
        <f>R12+R17+R34+R94+R108</f>
        <v>16371.2</v>
      </c>
      <c r="S165" s="1223">
        <f>S12+S17+S34+S94+S108</f>
        <v>0</v>
      </c>
      <c r="T165" s="1223">
        <f>T12+T17+T34+T94+T108</f>
        <v>0</v>
      </c>
      <c r="U165" s="1222">
        <f t="shared" si="157"/>
        <v>16371.2</v>
      </c>
      <c r="V165" s="1223">
        <f>V12+V17+V34+V94+V108</f>
        <v>16371.2</v>
      </c>
      <c r="W165" s="1223">
        <f>W12+W17+W34+W94+W108</f>
        <v>0</v>
      </c>
      <c r="X165" s="2375">
        <f>X12+X17+X34+X94+X108</f>
        <v>0</v>
      </c>
      <c r="Y165" s="1219"/>
      <c r="Z165" s="2435"/>
      <c r="AA165" s="1219"/>
      <c r="AB165" s="1219"/>
    </row>
    <row r="166" spans="1:28" x14ac:dyDescent="0.2">
      <c r="A166" s="3133" t="s">
        <v>623</v>
      </c>
      <c r="B166" s="3134"/>
      <c r="C166" s="3134"/>
      <c r="D166" s="3134"/>
      <c r="E166" s="3134"/>
      <c r="F166" s="3134"/>
      <c r="G166" s="3134"/>
      <c r="H166" s="3134"/>
      <c r="I166" s="1222">
        <f t="shared" si="151"/>
        <v>2590.2000000000007</v>
      </c>
      <c r="J166" s="1223">
        <f>J20+J27+J36+J58+J62+J91+J116+J132+J47+J52+J53+J68+J137+J152+J72+J76+J106+J141+J109</f>
        <v>2590.2000000000007</v>
      </c>
      <c r="K166" s="1223">
        <f t="shared" ref="K166:L166" si="159">K20+K27+K36+K58+K62+K91+K116+K132+K47+K52+K53+K68+K137+K152+K72+K76+K106+K141+K109</f>
        <v>709.50000000000011</v>
      </c>
      <c r="L166" s="1223">
        <f t="shared" si="159"/>
        <v>0</v>
      </c>
      <c r="M166" s="1222">
        <f t="shared" si="153"/>
        <v>3002.2</v>
      </c>
      <c r="N166" s="1223">
        <f>N20+N27+N36+N58+N62+N91+N116+N132+N47+N52+N53+N68+N137+N152+N72+N76+N106+N141+N109</f>
        <v>3002.2</v>
      </c>
      <c r="O166" s="1223">
        <f t="shared" ref="O166:P166" si="160">O20+O27+O36+O58+O62+O91+O116+O132+O47+O52+O53+O68+O137+O152+O72+O76+O106+O141+O109</f>
        <v>829.59999999999991</v>
      </c>
      <c r="P166" s="1223">
        <f t="shared" si="160"/>
        <v>0</v>
      </c>
      <c r="Q166" s="1222">
        <f t="shared" si="155"/>
        <v>2997.5</v>
      </c>
      <c r="R166" s="1223">
        <f>R20+R27+R36+R58+R62+R91+R116+R132+R47+R52+R53+R68+R137+R152+R72+R76+R106+R141+R109</f>
        <v>2997.5</v>
      </c>
      <c r="S166" s="1223">
        <f t="shared" ref="S166:T166" si="161">S20+S27+S36+S58+S62+S91+S116+S132+S47+S52+S53+S68+S137+S152+S72+S76+S106+S141+S109</f>
        <v>846.19999999999993</v>
      </c>
      <c r="T166" s="1223">
        <f t="shared" si="161"/>
        <v>0</v>
      </c>
      <c r="U166" s="1222">
        <f t="shared" si="157"/>
        <v>2991.2</v>
      </c>
      <c r="V166" s="1223">
        <f>V20+V27+V36+V58+V62+V91+V116+V132+V47+V52+V53+V68+V137+V152+V72+V76+V106+V141+V109</f>
        <v>2991.2</v>
      </c>
      <c r="W166" s="1223">
        <f t="shared" ref="W166:X166" si="162">W20+W27+W36+W58+W62+W91+W116+W132+W47+W52+W53+W68+W137+W152+W72+W76+W106+W141+W109</f>
        <v>771.59999999999991</v>
      </c>
      <c r="X166" s="2375">
        <f t="shared" si="162"/>
        <v>0</v>
      </c>
      <c r="Y166" s="1219"/>
      <c r="Z166" s="2435"/>
      <c r="AA166" s="1219"/>
      <c r="AB166" s="1219"/>
    </row>
    <row r="167" spans="1:28" x14ac:dyDescent="0.2">
      <c r="A167" s="3133" t="s">
        <v>300</v>
      </c>
      <c r="B167" s="3134"/>
      <c r="C167" s="3134"/>
      <c r="D167" s="3134"/>
      <c r="E167" s="3134"/>
      <c r="F167" s="3134"/>
      <c r="G167" s="3134"/>
      <c r="H167" s="3134"/>
      <c r="I167" s="1222">
        <f t="shared" si="151"/>
        <v>313.79999999999995</v>
      </c>
      <c r="J167" s="1223">
        <f>J97+J120+J122</f>
        <v>170.1</v>
      </c>
      <c r="K167" s="1223">
        <f t="shared" ref="K167:L167" si="163">K97+K120+K122</f>
        <v>0</v>
      </c>
      <c r="L167" s="1223">
        <f t="shared" si="163"/>
        <v>143.69999999999999</v>
      </c>
      <c r="M167" s="1222">
        <f t="shared" si="153"/>
        <v>273.8</v>
      </c>
      <c r="N167" s="1223">
        <f>N97+N120+N122</f>
        <v>143</v>
      </c>
      <c r="O167" s="1223">
        <f t="shared" ref="O167:P167" si="164">O97+O120+O122</f>
        <v>2.9</v>
      </c>
      <c r="P167" s="1223">
        <f t="shared" si="164"/>
        <v>130.80000000000001</v>
      </c>
      <c r="Q167" s="1222">
        <f t="shared" si="155"/>
        <v>281.3</v>
      </c>
      <c r="R167" s="1223">
        <f>R97+R120+R122</f>
        <v>3.1</v>
      </c>
      <c r="S167" s="1223">
        <f t="shared" ref="S167:T167" si="165">S97+S120+S122</f>
        <v>2.9</v>
      </c>
      <c r="T167" s="1223">
        <f t="shared" si="165"/>
        <v>278.2</v>
      </c>
      <c r="U167" s="1222">
        <f t="shared" si="157"/>
        <v>0</v>
      </c>
      <c r="V167" s="1223">
        <f>V97+V120+V122</f>
        <v>0</v>
      </c>
      <c r="W167" s="1223">
        <f t="shared" ref="W167:X167" si="166">W97+W120+W122</f>
        <v>0</v>
      </c>
      <c r="X167" s="2375">
        <f t="shared" si="166"/>
        <v>0</v>
      </c>
      <c r="Y167" s="1219"/>
      <c r="Z167" s="2435"/>
      <c r="AA167" s="1219"/>
      <c r="AB167" s="1219"/>
    </row>
    <row r="168" spans="1:28" x14ac:dyDescent="0.2">
      <c r="A168" s="3133" t="s">
        <v>221</v>
      </c>
      <c r="B168" s="3134"/>
      <c r="C168" s="3134"/>
      <c r="D168" s="3134"/>
      <c r="E168" s="3134"/>
      <c r="F168" s="3134"/>
      <c r="G168" s="3134"/>
      <c r="H168" s="3134"/>
      <c r="I168" s="1222">
        <f t="shared" si="151"/>
        <v>1546.8000000000002</v>
      </c>
      <c r="J168" s="1223">
        <f>J65+J126+J142+J149+J157</f>
        <v>1546.8000000000002</v>
      </c>
      <c r="K168" s="1223">
        <f>K65+K126+K142+K149+K157</f>
        <v>824.5</v>
      </c>
      <c r="L168" s="1223">
        <f>L65+L126+L142+L149+L157</f>
        <v>0</v>
      </c>
      <c r="M168" s="1222">
        <f t="shared" si="153"/>
        <v>1687</v>
      </c>
      <c r="N168" s="1223">
        <f>N46+N51+N59+N65+N126+N142+N149+N157</f>
        <v>1687</v>
      </c>
      <c r="O168" s="1223">
        <f t="shared" ref="O168:P168" si="167">O46+O51+O59+O65+O126+O142+O149+O157</f>
        <v>1094.8</v>
      </c>
      <c r="P168" s="1223">
        <f t="shared" si="167"/>
        <v>0</v>
      </c>
      <c r="Q168" s="1222">
        <f t="shared" si="155"/>
        <v>1390</v>
      </c>
      <c r="R168" s="1223">
        <f>R65+R126+R142+R149+R157</f>
        <v>1390</v>
      </c>
      <c r="S168" s="1223">
        <f>S65+S126+S142+S149+S157</f>
        <v>828</v>
      </c>
      <c r="T168" s="1223">
        <f>T65+T126+T142+T149+T157</f>
        <v>0</v>
      </c>
      <c r="U168" s="1222">
        <f t="shared" si="157"/>
        <v>1365</v>
      </c>
      <c r="V168" s="1223">
        <f>V65+V126+V142+V149+V157</f>
        <v>1365</v>
      </c>
      <c r="W168" s="1223">
        <f>W65+W126+W142+W149+W157</f>
        <v>828</v>
      </c>
      <c r="X168" s="2375">
        <f>X65+X126+X142+X149+X157</f>
        <v>0</v>
      </c>
      <c r="Y168" s="1219"/>
      <c r="Z168" s="2435"/>
      <c r="AA168" s="1219"/>
      <c r="AB168" s="1219"/>
    </row>
    <row r="169" spans="1:28" x14ac:dyDescent="0.2">
      <c r="A169" s="3135" t="s">
        <v>215</v>
      </c>
      <c r="B169" s="3136"/>
      <c r="C169" s="3136"/>
      <c r="D169" s="3136"/>
      <c r="E169" s="3136"/>
      <c r="F169" s="3136"/>
      <c r="G169" s="3136"/>
      <c r="H169" s="3137"/>
      <c r="I169" s="1222">
        <f t="shared" si="151"/>
        <v>1137.9000000000003</v>
      </c>
      <c r="J169" s="1223">
        <f>J48+J54+J57+J61+J73+J115+J143</f>
        <v>1127.0000000000002</v>
      </c>
      <c r="K169" s="1223">
        <f>K48+K54+K57+K61+K73+K115+K143</f>
        <v>864.6</v>
      </c>
      <c r="L169" s="1223">
        <f>L48+L54+L57+L61+L73+L115+L143</f>
        <v>10.9</v>
      </c>
      <c r="M169" s="1222">
        <f t="shared" si="153"/>
        <v>1237.6000000000001</v>
      </c>
      <c r="N169" s="1223">
        <f>N48+N54+N57+N61+N73+N115+N143</f>
        <v>1237.6000000000001</v>
      </c>
      <c r="O169" s="1223">
        <f>O48+O54+O57+O61+O73+O115+O143</f>
        <v>929.3</v>
      </c>
      <c r="P169" s="1223">
        <f>P48+P54+P57+P61+P73+P115+P143</f>
        <v>0</v>
      </c>
      <c r="Q169" s="1222">
        <f t="shared" si="155"/>
        <v>1232.8</v>
      </c>
      <c r="R169" s="1223">
        <f>R48+R54+R57+R61+R73+R115+R143</f>
        <v>1232.8</v>
      </c>
      <c r="S169" s="1223">
        <f>S48+S54+S57+S61+S73+S115+S143</f>
        <v>922.2</v>
      </c>
      <c r="T169" s="1223">
        <f>T48+T54+T57+T61+T73+T115+T143</f>
        <v>0</v>
      </c>
      <c r="U169" s="1222">
        <f t="shared" si="157"/>
        <v>1210.7</v>
      </c>
      <c r="V169" s="1223">
        <f>V48+V54+V57+V61+V73+V115+V143</f>
        <v>1210.7</v>
      </c>
      <c r="W169" s="1223">
        <f>W48+W54+W57+W61+W73+W115+W143</f>
        <v>929.3</v>
      </c>
      <c r="X169" s="2375">
        <f>X48+X54+X57+X61+X73+X115+X143</f>
        <v>0</v>
      </c>
      <c r="Y169" s="1219"/>
      <c r="Z169" s="2435"/>
      <c r="AA169" s="1219"/>
      <c r="AB169" s="1219">
        <v>0</v>
      </c>
    </row>
    <row r="170" spans="1:28" x14ac:dyDescent="0.2">
      <c r="A170" s="3138" t="s">
        <v>624</v>
      </c>
      <c r="B170" s="3139"/>
      <c r="C170" s="3139"/>
      <c r="D170" s="3139"/>
      <c r="E170" s="3139"/>
      <c r="F170" s="3139"/>
      <c r="G170" s="3139"/>
      <c r="H170" s="3140"/>
      <c r="I170" s="1222">
        <f t="shared" si="151"/>
        <v>13</v>
      </c>
      <c r="J170" s="1223">
        <f>SUM(J117)</f>
        <v>13</v>
      </c>
      <c r="K170" s="1223">
        <f>SUM(K117)</f>
        <v>0</v>
      </c>
      <c r="L170" s="1223">
        <f>SUM(L117)</f>
        <v>0</v>
      </c>
      <c r="M170" s="1222">
        <f t="shared" si="153"/>
        <v>6.7</v>
      </c>
      <c r="N170" s="1223">
        <f>SUM(N117)</f>
        <v>6.7</v>
      </c>
      <c r="O170" s="1223">
        <f>SUM(O117)</f>
        <v>0</v>
      </c>
      <c r="P170" s="1223">
        <f>SUM(P117)</f>
        <v>0</v>
      </c>
      <c r="Q170" s="1222">
        <f t="shared" si="155"/>
        <v>0</v>
      </c>
      <c r="R170" s="1223">
        <f>SUM(R117)</f>
        <v>0</v>
      </c>
      <c r="S170" s="1223">
        <f>SUM(S117)</f>
        <v>0</v>
      </c>
      <c r="T170" s="1223">
        <f>SUM(T117)</f>
        <v>0</v>
      </c>
      <c r="U170" s="1222">
        <f t="shared" si="157"/>
        <v>0</v>
      </c>
      <c r="V170" s="1223">
        <f>SUM(V117)</f>
        <v>0</v>
      </c>
      <c r="W170" s="1223">
        <f>SUM(W117)</f>
        <v>0</v>
      </c>
      <c r="X170" s="2375">
        <f>SUM(X117)</f>
        <v>0</v>
      </c>
      <c r="Y170" s="1219"/>
      <c r="Z170" s="2435"/>
      <c r="AA170" s="1219"/>
      <c r="AB170" s="1219">
        <v>0</v>
      </c>
    </row>
    <row r="171" spans="1:28" x14ac:dyDescent="0.2">
      <c r="A171" s="3138" t="s">
        <v>625</v>
      </c>
      <c r="B171" s="3139"/>
      <c r="C171" s="3139"/>
      <c r="D171" s="3139"/>
      <c r="E171" s="3139"/>
      <c r="F171" s="3139"/>
      <c r="G171" s="3139"/>
      <c r="H171" s="3140"/>
      <c r="I171" s="1224">
        <f t="shared" si="151"/>
        <v>0</v>
      </c>
      <c r="J171" s="1223"/>
      <c r="K171" s="1223">
        <f>K25</f>
        <v>0</v>
      </c>
      <c r="L171" s="1223">
        <f>L25</f>
        <v>0</v>
      </c>
      <c r="M171" s="1224">
        <f t="shared" si="153"/>
        <v>125.3</v>
      </c>
      <c r="N171" s="1223">
        <f>N21</f>
        <v>125.3</v>
      </c>
      <c r="O171" s="1223">
        <f>O21</f>
        <v>0</v>
      </c>
      <c r="P171" s="1223">
        <f>P25</f>
        <v>0</v>
      </c>
      <c r="Q171" s="1224">
        <f t="shared" si="155"/>
        <v>0</v>
      </c>
      <c r="R171" s="1223">
        <f>R25</f>
        <v>0</v>
      </c>
      <c r="S171" s="1223">
        <f>S25</f>
        <v>0</v>
      </c>
      <c r="T171" s="1223">
        <f>T25</f>
        <v>0</v>
      </c>
      <c r="U171" s="1224">
        <f t="shared" si="157"/>
        <v>0</v>
      </c>
      <c r="V171" s="1223">
        <f>V25</f>
        <v>0</v>
      </c>
      <c r="W171" s="1223">
        <f>W25</f>
        <v>0</v>
      </c>
      <c r="X171" s="2375">
        <f>X25</f>
        <v>0</v>
      </c>
      <c r="Y171" s="1219"/>
      <c r="Z171" s="2435"/>
      <c r="AA171" s="1219"/>
      <c r="AB171" s="1219">
        <v>0</v>
      </c>
    </row>
    <row r="172" spans="1:28" ht="12.75" customHeight="1" x14ac:dyDescent="0.2">
      <c r="A172" s="3138" t="s">
        <v>626</v>
      </c>
      <c r="B172" s="3139"/>
      <c r="C172" s="3139"/>
      <c r="D172" s="3139"/>
      <c r="E172" s="3139"/>
      <c r="F172" s="3139"/>
      <c r="G172" s="3139"/>
      <c r="H172" s="3140"/>
      <c r="I172" s="1222">
        <f t="shared" si="151"/>
        <v>16.399999999999999</v>
      </c>
      <c r="J172" s="1223">
        <f>J13+J18</f>
        <v>16.399999999999999</v>
      </c>
      <c r="K172" s="1223">
        <f>K13+K18</f>
        <v>0</v>
      </c>
      <c r="L172" s="1223">
        <f>L13+L18</f>
        <v>0</v>
      </c>
      <c r="M172" s="1222">
        <f t="shared" si="153"/>
        <v>2</v>
      </c>
      <c r="N172" s="1223">
        <f>N13+N18</f>
        <v>2</v>
      </c>
      <c r="O172" s="1223">
        <f>O13+O18</f>
        <v>0</v>
      </c>
      <c r="P172" s="1223">
        <f>P13+P18</f>
        <v>0</v>
      </c>
      <c r="Q172" s="1222">
        <f t="shared" si="155"/>
        <v>0</v>
      </c>
      <c r="R172" s="1223">
        <f>R13+R18</f>
        <v>0</v>
      </c>
      <c r="S172" s="1223">
        <f>S13+S18</f>
        <v>0</v>
      </c>
      <c r="T172" s="1223">
        <f>T13+T18</f>
        <v>0</v>
      </c>
      <c r="U172" s="1222">
        <f t="shared" si="157"/>
        <v>0</v>
      </c>
      <c r="V172" s="1223">
        <f>V13+V18</f>
        <v>0</v>
      </c>
      <c r="W172" s="1223">
        <f>W13+W18</f>
        <v>0</v>
      </c>
      <c r="X172" s="2375">
        <f>X13+X18</f>
        <v>0</v>
      </c>
      <c r="Y172" s="1219"/>
      <c r="Z172" s="2435"/>
      <c r="AA172" s="1219"/>
      <c r="AB172" s="1219">
        <v>0</v>
      </c>
    </row>
    <row r="173" spans="1:28" ht="13.5" thickBot="1" x14ac:dyDescent="0.25">
      <c r="A173" s="3124" t="s">
        <v>627</v>
      </c>
      <c r="B173" s="3125"/>
      <c r="C173" s="3125"/>
      <c r="D173" s="3125"/>
      <c r="E173" s="3125"/>
      <c r="F173" s="3125"/>
      <c r="G173" s="3125"/>
      <c r="H173" s="3126"/>
      <c r="I173" s="1225">
        <f t="shared" si="151"/>
        <v>121.4</v>
      </c>
      <c r="J173" s="1226">
        <f>J21+J25+J46+J51+J59+J63+J69</f>
        <v>121.4</v>
      </c>
      <c r="K173" s="1226">
        <f>K21+K46+K51+K59+K63+K69</f>
        <v>0</v>
      </c>
      <c r="L173" s="1226">
        <f>L21+L46+L51+L59+L63+L69</f>
        <v>0</v>
      </c>
      <c r="M173" s="1225">
        <f t="shared" si="153"/>
        <v>0</v>
      </c>
      <c r="N173" s="1226">
        <f>N25+N63+N69</f>
        <v>0</v>
      </c>
      <c r="O173" s="1226">
        <f t="shared" ref="O173:P173" si="168">O25+O63+O69</f>
        <v>0</v>
      </c>
      <c r="P173" s="1226">
        <f t="shared" si="168"/>
        <v>0</v>
      </c>
      <c r="Q173" s="1225">
        <f t="shared" si="155"/>
        <v>272</v>
      </c>
      <c r="R173" s="1226">
        <f>R21+R46+R51+R59+R63+R69</f>
        <v>272</v>
      </c>
      <c r="S173" s="1226">
        <f>S21+S46+S51+S59+S63+S69</f>
        <v>267.8</v>
      </c>
      <c r="T173" s="1226">
        <f>T21+T46+T51+T59+T63+T69</f>
        <v>0</v>
      </c>
      <c r="U173" s="1225">
        <f t="shared" si="157"/>
        <v>272</v>
      </c>
      <c r="V173" s="1226">
        <f>V21+V46+V51+V59+V63+V69</f>
        <v>272</v>
      </c>
      <c r="W173" s="1226">
        <f>W21+W46+W51+W59+W63+W69</f>
        <v>267.8</v>
      </c>
      <c r="X173" s="1229">
        <f>X21+X46+X51+X59+X63+X69</f>
        <v>0</v>
      </c>
      <c r="Y173" s="1219"/>
      <c r="Z173" s="2435"/>
      <c r="AA173" s="1219"/>
      <c r="AB173" s="1219">
        <v>0</v>
      </c>
    </row>
    <row r="174" spans="1:28" ht="13.5" thickBot="1" x14ac:dyDescent="0.25">
      <c r="A174" s="3127" t="s">
        <v>222</v>
      </c>
      <c r="B174" s="3128"/>
      <c r="C174" s="3128"/>
      <c r="D174" s="3128"/>
      <c r="E174" s="3128"/>
      <c r="F174" s="3128"/>
      <c r="G174" s="3128"/>
      <c r="H174" s="3129"/>
      <c r="I174" s="1227">
        <f t="shared" ref="I174:X174" si="169">SUM(I164:I173)</f>
        <v>26965.000000000004</v>
      </c>
      <c r="J174" s="1226">
        <f t="shared" si="169"/>
        <v>26648.6</v>
      </c>
      <c r="K174" s="1226">
        <f t="shared" si="169"/>
        <v>4489.7</v>
      </c>
      <c r="L174" s="1228">
        <f t="shared" si="169"/>
        <v>316.39999999999998</v>
      </c>
      <c r="M174" s="1227">
        <f t="shared" si="169"/>
        <v>29430.5</v>
      </c>
      <c r="N174" s="1226">
        <f t="shared" si="169"/>
        <v>28964</v>
      </c>
      <c r="O174" s="1226">
        <f>SUM(O164:O173)</f>
        <v>5638.7000000000007</v>
      </c>
      <c r="P174" s="1228">
        <f t="shared" si="169"/>
        <v>466.50000000000006</v>
      </c>
      <c r="Q174" s="1227">
        <f t="shared" si="169"/>
        <v>29991.899999999998</v>
      </c>
      <c r="R174" s="1226">
        <f t="shared" si="169"/>
        <v>29413.599999999999</v>
      </c>
      <c r="S174" s="1226">
        <f t="shared" si="169"/>
        <v>5930</v>
      </c>
      <c r="T174" s="1229">
        <f t="shared" si="169"/>
        <v>578.29999999999995</v>
      </c>
      <c r="U174" s="1227">
        <f t="shared" si="169"/>
        <v>29229.9</v>
      </c>
      <c r="V174" s="1226">
        <f t="shared" si="169"/>
        <v>29229.9</v>
      </c>
      <c r="W174" s="1226">
        <f t="shared" si="169"/>
        <v>5857.5</v>
      </c>
      <c r="X174" s="1229">
        <f t="shared" si="169"/>
        <v>0</v>
      </c>
      <c r="Y174" s="1219"/>
      <c r="Z174" s="2435"/>
      <c r="AA174" s="1219"/>
      <c r="AB174" s="1219"/>
    </row>
    <row r="176" spans="1:28" x14ac:dyDescent="0.2">
      <c r="D176" s="431"/>
      <c r="E176" s="431"/>
      <c r="I176" s="541">
        <f t="shared" ref="I176:X176" si="170">I163-I174</f>
        <v>0</v>
      </c>
      <c r="J176" s="541">
        <f t="shared" si="170"/>
        <v>0</v>
      </c>
      <c r="K176" s="541">
        <f t="shared" si="170"/>
        <v>0</v>
      </c>
      <c r="L176" s="541">
        <f t="shared" si="170"/>
        <v>0</v>
      </c>
      <c r="M176" s="541">
        <f t="shared" si="170"/>
        <v>0</v>
      </c>
      <c r="N176" s="541">
        <f t="shared" si="170"/>
        <v>0</v>
      </c>
      <c r="O176" s="541">
        <f t="shared" si="170"/>
        <v>0</v>
      </c>
      <c r="P176" s="541">
        <f t="shared" si="170"/>
        <v>0</v>
      </c>
      <c r="Q176" s="541">
        <f t="shared" si="170"/>
        <v>0</v>
      </c>
      <c r="R176" s="541">
        <f t="shared" si="170"/>
        <v>0</v>
      </c>
      <c r="S176" s="541">
        <f t="shared" si="170"/>
        <v>0</v>
      </c>
      <c r="T176" s="541">
        <f t="shared" si="170"/>
        <v>0</v>
      </c>
      <c r="U176" s="541">
        <f t="shared" si="170"/>
        <v>0</v>
      </c>
      <c r="V176" s="541">
        <f t="shared" si="170"/>
        <v>0</v>
      </c>
      <c r="W176" s="541">
        <f t="shared" si="170"/>
        <v>0</v>
      </c>
      <c r="X176" s="541">
        <f t="shared" si="170"/>
        <v>0</v>
      </c>
    </row>
    <row r="177" spans="1:24" x14ac:dyDescent="0.2">
      <c r="F177" s="354"/>
      <c r="G177" s="354"/>
      <c r="H177" s="354"/>
      <c r="M177" s="342"/>
    </row>
    <row r="181" spans="1:24" x14ac:dyDescent="0.2">
      <c r="A181" s="431"/>
      <c r="B181" s="431"/>
      <c r="C181" s="431"/>
      <c r="D181" s="431"/>
      <c r="E181" s="431"/>
      <c r="F181" s="354"/>
      <c r="G181" s="354"/>
      <c r="H181" s="354"/>
      <c r="M181" s="342"/>
      <c r="N181" s="431"/>
      <c r="O181" s="431"/>
      <c r="P181" s="431"/>
      <c r="Q181" s="431"/>
      <c r="R181" s="431"/>
      <c r="S181" s="431"/>
      <c r="T181" s="431"/>
      <c r="U181" s="431"/>
      <c r="V181" s="431"/>
      <c r="W181" s="431"/>
      <c r="X181" s="431"/>
    </row>
    <row r="182" spans="1:24" x14ac:dyDescent="0.2">
      <c r="A182" s="431"/>
      <c r="B182" s="431"/>
      <c r="C182" s="431"/>
      <c r="D182" s="431"/>
      <c r="E182" s="431"/>
      <c r="F182" s="354"/>
      <c r="G182" s="354"/>
      <c r="H182" s="354"/>
      <c r="N182" s="431"/>
      <c r="O182" s="431"/>
      <c r="P182" s="431"/>
      <c r="Q182" s="431"/>
      <c r="R182" s="431"/>
      <c r="S182" s="431"/>
      <c r="T182" s="431"/>
      <c r="U182" s="431"/>
      <c r="V182" s="431"/>
      <c r="W182" s="431"/>
      <c r="X182" s="431"/>
    </row>
    <row r="183" spans="1:24" x14ac:dyDescent="0.2">
      <c r="A183" s="431"/>
      <c r="B183" s="431"/>
      <c r="C183" s="431"/>
      <c r="D183" s="431"/>
      <c r="E183" s="431"/>
      <c r="F183" s="354"/>
      <c r="G183" s="354"/>
      <c r="H183" s="354"/>
      <c r="N183" s="431"/>
      <c r="O183" s="431"/>
      <c r="P183" s="431"/>
      <c r="Q183" s="431"/>
      <c r="R183" s="431"/>
      <c r="S183" s="431"/>
      <c r="T183" s="431"/>
      <c r="U183" s="431"/>
      <c r="V183" s="431"/>
      <c r="W183" s="431"/>
      <c r="X183" s="431"/>
    </row>
    <row r="184" spans="1:24" x14ac:dyDescent="0.2">
      <c r="A184" s="431"/>
      <c r="B184" s="431"/>
      <c r="C184" s="431"/>
      <c r="D184" s="431"/>
      <c r="E184" s="431"/>
      <c r="F184" s="354"/>
      <c r="G184" s="354"/>
      <c r="H184" s="354"/>
      <c r="N184" s="431"/>
      <c r="O184" s="431"/>
      <c r="P184" s="431"/>
      <c r="Q184" s="431"/>
      <c r="R184" s="431"/>
      <c r="S184" s="431"/>
      <c r="T184" s="431"/>
      <c r="U184" s="431"/>
      <c r="V184" s="431"/>
      <c r="W184" s="431"/>
      <c r="X184" s="431"/>
    </row>
    <row r="185" spans="1:24" x14ac:dyDescent="0.2">
      <c r="A185" s="431"/>
      <c r="B185" s="431"/>
      <c r="C185" s="431"/>
      <c r="D185" s="431"/>
      <c r="E185" s="431"/>
      <c r="F185" s="354"/>
      <c r="G185" s="354"/>
      <c r="H185" s="354"/>
      <c r="N185" s="431"/>
      <c r="O185" s="431"/>
      <c r="P185" s="431"/>
      <c r="Q185" s="431"/>
      <c r="R185" s="431"/>
      <c r="S185" s="431"/>
      <c r="T185" s="431"/>
      <c r="U185" s="431"/>
      <c r="V185" s="431"/>
      <c r="W185" s="431"/>
      <c r="X185" s="431"/>
    </row>
    <row r="186" spans="1:24" x14ac:dyDescent="0.2">
      <c r="A186" s="431"/>
      <c r="B186" s="431"/>
      <c r="C186" s="431"/>
      <c r="D186" s="431"/>
      <c r="E186" s="431"/>
      <c r="F186" s="354"/>
      <c r="G186" s="354"/>
      <c r="H186" s="354"/>
      <c r="N186" s="431"/>
      <c r="O186" s="431"/>
      <c r="P186" s="431"/>
      <c r="Q186" s="431"/>
      <c r="R186" s="431"/>
      <c r="S186" s="431"/>
      <c r="T186" s="431"/>
      <c r="U186" s="431"/>
      <c r="V186" s="431"/>
      <c r="W186" s="431"/>
      <c r="X186" s="431"/>
    </row>
    <row r="187" spans="1:24" x14ac:dyDescent="0.2">
      <c r="A187" s="431"/>
      <c r="B187" s="431"/>
      <c r="C187" s="431"/>
      <c r="D187" s="431"/>
      <c r="E187" s="431"/>
      <c r="F187" s="354"/>
      <c r="G187" s="354"/>
      <c r="H187" s="354"/>
      <c r="N187" s="431"/>
      <c r="O187" s="431"/>
      <c r="P187" s="431"/>
      <c r="Q187" s="431"/>
      <c r="R187" s="431"/>
      <c r="S187" s="431"/>
      <c r="T187" s="431"/>
      <c r="U187" s="431"/>
      <c r="V187" s="431"/>
      <c r="W187" s="431"/>
      <c r="X187" s="431"/>
    </row>
    <row r="188" spans="1:24" x14ac:dyDescent="0.2">
      <c r="A188" s="431"/>
      <c r="B188" s="431"/>
      <c r="C188" s="431"/>
      <c r="D188" s="431"/>
      <c r="E188" s="431"/>
      <c r="F188" s="354"/>
      <c r="G188" s="354"/>
      <c r="H188" s="354"/>
      <c r="M188" s="342"/>
      <c r="N188" s="431"/>
      <c r="O188" s="431"/>
      <c r="P188" s="431"/>
      <c r="Q188" s="431"/>
      <c r="R188" s="431"/>
      <c r="S188" s="431"/>
      <c r="T188" s="431"/>
      <c r="U188" s="431"/>
      <c r="V188" s="431"/>
      <c r="W188" s="431"/>
      <c r="X188" s="431"/>
    </row>
    <row r="189" spans="1:24" x14ac:dyDescent="0.2">
      <c r="A189" s="431"/>
      <c r="B189" s="431"/>
      <c r="C189" s="431"/>
      <c r="D189" s="431"/>
      <c r="E189" s="431"/>
      <c r="F189" s="354"/>
      <c r="G189" s="354"/>
      <c r="H189" s="354"/>
      <c r="N189" s="431"/>
      <c r="O189" s="431"/>
      <c r="P189" s="431"/>
      <c r="Q189" s="431"/>
      <c r="R189" s="431"/>
      <c r="S189" s="431"/>
      <c r="T189" s="431"/>
      <c r="U189" s="431"/>
      <c r="V189" s="431"/>
      <c r="W189" s="431"/>
      <c r="X189" s="431"/>
    </row>
    <row r="190" spans="1:24" x14ac:dyDescent="0.2">
      <c r="A190" s="431"/>
      <c r="B190" s="431"/>
      <c r="C190" s="431"/>
      <c r="D190" s="431"/>
      <c r="E190" s="431"/>
      <c r="F190" s="354"/>
      <c r="G190" s="354"/>
      <c r="H190" s="354"/>
      <c r="N190" s="431"/>
      <c r="O190" s="431"/>
      <c r="P190" s="431"/>
      <c r="Q190" s="431"/>
      <c r="R190" s="431"/>
      <c r="S190" s="431"/>
      <c r="T190" s="431"/>
      <c r="U190" s="431"/>
      <c r="V190" s="431"/>
      <c r="W190" s="431"/>
      <c r="X190" s="431"/>
    </row>
    <row r="191" spans="1:24" x14ac:dyDescent="0.2">
      <c r="A191" s="431"/>
      <c r="B191" s="431"/>
      <c r="C191" s="431"/>
      <c r="D191" s="431"/>
      <c r="E191" s="431"/>
      <c r="F191" s="354"/>
      <c r="G191" s="354"/>
      <c r="H191" s="354"/>
      <c r="N191" s="431"/>
      <c r="O191" s="431"/>
      <c r="P191" s="431"/>
      <c r="Q191" s="431"/>
      <c r="R191" s="431"/>
      <c r="S191" s="431"/>
      <c r="T191" s="431"/>
      <c r="U191" s="431"/>
      <c r="V191" s="431"/>
      <c r="W191" s="431"/>
      <c r="X191" s="431"/>
    </row>
    <row r="193" spans="6:13" s="431" customFormat="1" x14ac:dyDescent="0.2">
      <c r="F193" s="354"/>
      <c r="G193" s="354"/>
      <c r="H193" s="354"/>
      <c r="I193" s="354"/>
      <c r="J193" s="354"/>
      <c r="K193" s="354"/>
      <c r="L193" s="354"/>
      <c r="M193" s="354"/>
    </row>
  </sheetData>
  <mergeCells count="355">
    <mergeCell ref="A4:A7"/>
    <mergeCell ref="B4:B7"/>
    <mergeCell ref="C4:C7"/>
    <mergeCell ref="D4:D7"/>
    <mergeCell ref="E4:E7"/>
    <mergeCell ref="F4:F7"/>
    <mergeCell ref="U1:X1"/>
    <mergeCell ref="A2:X2"/>
    <mergeCell ref="A3:H3"/>
    <mergeCell ref="K3:L3"/>
    <mergeCell ref="O3:P3"/>
    <mergeCell ref="S3:T3"/>
    <mergeCell ref="W3:X3"/>
    <mergeCell ref="Q5:Q7"/>
    <mergeCell ref="R5:T5"/>
    <mergeCell ref="U5:U7"/>
    <mergeCell ref="V5:X5"/>
    <mergeCell ref="L6:L7"/>
    <mergeCell ref="P6:P7"/>
    <mergeCell ref="T6:T7"/>
    <mergeCell ref="X6:X7"/>
    <mergeCell ref="G4:G7"/>
    <mergeCell ref="H4:H7"/>
    <mergeCell ref="I4:L4"/>
    <mergeCell ref="M4:P4"/>
    <mergeCell ref="Q4:T4"/>
    <mergeCell ref="U4:X4"/>
    <mergeCell ref="I5:I7"/>
    <mergeCell ref="J5:L5"/>
    <mergeCell ref="M5:M7"/>
    <mergeCell ref="N5:P5"/>
    <mergeCell ref="G12:G13"/>
    <mergeCell ref="F14:H14"/>
    <mergeCell ref="A15:A16"/>
    <mergeCell ref="B15:B16"/>
    <mergeCell ref="C15:C16"/>
    <mergeCell ref="D15:D16"/>
    <mergeCell ref="E15:E16"/>
    <mergeCell ref="F16:H16"/>
    <mergeCell ref="A8:X8"/>
    <mergeCell ref="A9:X9"/>
    <mergeCell ref="B10:X10"/>
    <mergeCell ref="C11:X11"/>
    <mergeCell ref="A12:A14"/>
    <mergeCell ref="B12:B14"/>
    <mergeCell ref="C12:C14"/>
    <mergeCell ref="D12:D14"/>
    <mergeCell ref="E12:E14"/>
    <mergeCell ref="F12:F13"/>
    <mergeCell ref="G17:G18"/>
    <mergeCell ref="F19:H19"/>
    <mergeCell ref="A20:A23"/>
    <mergeCell ref="B20:B23"/>
    <mergeCell ref="C20:C23"/>
    <mergeCell ref="D20:D23"/>
    <mergeCell ref="E20:E23"/>
    <mergeCell ref="F20:F22"/>
    <mergeCell ref="G20:G22"/>
    <mergeCell ref="F23:H23"/>
    <mergeCell ref="A17:A19"/>
    <mergeCell ref="B17:B19"/>
    <mergeCell ref="C17:C19"/>
    <mergeCell ref="D17:D19"/>
    <mergeCell ref="E17:E19"/>
    <mergeCell ref="F17:F18"/>
    <mergeCell ref="C29:H29"/>
    <mergeCell ref="C30:X30"/>
    <mergeCell ref="A31:A32"/>
    <mergeCell ref="B31:B32"/>
    <mergeCell ref="C31:C32"/>
    <mergeCell ref="D31:D32"/>
    <mergeCell ref="E31:E32"/>
    <mergeCell ref="F32:H32"/>
    <mergeCell ref="G24:G25"/>
    <mergeCell ref="F26:H26"/>
    <mergeCell ref="A27:A28"/>
    <mergeCell ref="B27:B28"/>
    <mergeCell ref="C27:C28"/>
    <mergeCell ref="D27:D28"/>
    <mergeCell ref="E27:E28"/>
    <mergeCell ref="F28:H28"/>
    <mergeCell ref="A24:A26"/>
    <mergeCell ref="B24:B26"/>
    <mergeCell ref="C24:C26"/>
    <mergeCell ref="D24:D26"/>
    <mergeCell ref="E24:E26"/>
    <mergeCell ref="F24:F25"/>
    <mergeCell ref="G33:G34"/>
    <mergeCell ref="F35:H35"/>
    <mergeCell ref="A36:A37"/>
    <mergeCell ref="B36:B37"/>
    <mergeCell ref="C36:C37"/>
    <mergeCell ref="D36:D37"/>
    <mergeCell ref="E36:E37"/>
    <mergeCell ref="F37:H37"/>
    <mergeCell ref="A33:A35"/>
    <mergeCell ref="B33:B35"/>
    <mergeCell ref="C33:C35"/>
    <mergeCell ref="D33:D35"/>
    <mergeCell ref="E33:E35"/>
    <mergeCell ref="F33:F34"/>
    <mergeCell ref="C38:H38"/>
    <mergeCell ref="B39:H39"/>
    <mergeCell ref="B40:X40"/>
    <mergeCell ref="C41:X41"/>
    <mergeCell ref="A42:A49"/>
    <mergeCell ref="B42:B49"/>
    <mergeCell ref="C42:C49"/>
    <mergeCell ref="D42:D49"/>
    <mergeCell ref="E42:E49"/>
    <mergeCell ref="F42:F44"/>
    <mergeCell ref="G42:G44"/>
    <mergeCell ref="F45:F48"/>
    <mergeCell ref="G45:G48"/>
    <mergeCell ref="F49:H49"/>
    <mergeCell ref="A50:A55"/>
    <mergeCell ref="B50:B55"/>
    <mergeCell ref="C50:C55"/>
    <mergeCell ref="D50:D55"/>
    <mergeCell ref="E50:E55"/>
    <mergeCell ref="F50:F54"/>
    <mergeCell ref="G50:G54"/>
    <mergeCell ref="F55:H55"/>
    <mergeCell ref="A56:A60"/>
    <mergeCell ref="B56:B60"/>
    <mergeCell ref="C56:C60"/>
    <mergeCell ref="D56:D60"/>
    <mergeCell ref="E56:E60"/>
    <mergeCell ref="F56:F57"/>
    <mergeCell ref="G56:G59"/>
    <mergeCell ref="F58:F59"/>
    <mergeCell ref="F60:H60"/>
    <mergeCell ref="A61:A66"/>
    <mergeCell ref="B61:B66"/>
    <mergeCell ref="C61:C66"/>
    <mergeCell ref="D61:D66"/>
    <mergeCell ref="E61:E66"/>
    <mergeCell ref="F61:F65"/>
    <mergeCell ref="G61:G65"/>
    <mergeCell ref="F66:H66"/>
    <mergeCell ref="G67:G69"/>
    <mergeCell ref="F70:H70"/>
    <mergeCell ref="A71:A74"/>
    <mergeCell ref="B71:B74"/>
    <mergeCell ref="C71:C74"/>
    <mergeCell ref="D71:D74"/>
    <mergeCell ref="E71:E74"/>
    <mergeCell ref="F71:F73"/>
    <mergeCell ref="G71:G73"/>
    <mergeCell ref="F74:H74"/>
    <mergeCell ref="A67:A70"/>
    <mergeCell ref="B67:B70"/>
    <mergeCell ref="C67:C70"/>
    <mergeCell ref="D67:D70"/>
    <mergeCell ref="E67:E70"/>
    <mergeCell ref="F67:F69"/>
    <mergeCell ref="G75:G76"/>
    <mergeCell ref="F77:H77"/>
    <mergeCell ref="A78:A79"/>
    <mergeCell ref="B78:B79"/>
    <mergeCell ref="C78:C79"/>
    <mergeCell ref="D78:D79"/>
    <mergeCell ref="E78:E79"/>
    <mergeCell ref="F79:H79"/>
    <mergeCell ref="A75:A77"/>
    <mergeCell ref="B75:B77"/>
    <mergeCell ref="C75:C77"/>
    <mergeCell ref="D75:D77"/>
    <mergeCell ref="E75:E77"/>
    <mergeCell ref="F75:F76"/>
    <mergeCell ref="F90:H90"/>
    <mergeCell ref="A91:A93"/>
    <mergeCell ref="B91:B93"/>
    <mergeCell ref="C91:C93"/>
    <mergeCell ref="D91:D93"/>
    <mergeCell ref="E91:E93"/>
    <mergeCell ref="G91:G92"/>
    <mergeCell ref="F93:H93"/>
    <mergeCell ref="H80:H85"/>
    <mergeCell ref="E85:E86"/>
    <mergeCell ref="F86:H86"/>
    <mergeCell ref="C87:H87"/>
    <mergeCell ref="C88:X88"/>
    <mergeCell ref="A89:A90"/>
    <mergeCell ref="B89:B90"/>
    <mergeCell ref="C89:C90"/>
    <mergeCell ref="D89:D90"/>
    <mergeCell ref="E89:E90"/>
    <mergeCell ref="A80:A86"/>
    <mergeCell ref="B80:B86"/>
    <mergeCell ref="C80:C86"/>
    <mergeCell ref="D80:D86"/>
    <mergeCell ref="F80:F85"/>
    <mergeCell ref="G80:G85"/>
    <mergeCell ref="A99:A100"/>
    <mergeCell ref="B99:B100"/>
    <mergeCell ref="C99:C100"/>
    <mergeCell ref="D99:D100"/>
    <mergeCell ref="E99:E100"/>
    <mergeCell ref="F100:H100"/>
    <mergeCell ref="G94:G95"/>
    <mergeCell ref="F96:H96"/>
    <mergeCell ref="A97:A98"/>
    <mergeCell ref="B97:B98"/>
    <mergeCell ref="C97:C98"/>
    <mergeCell ref="D97:D98"/>
    <mergeCell ref="E97:E98"/>
    <mergeCell ref="F98:H98"/>
    <mergeCell ref="A94:A96"/>
    <mergeCell ref="B94:B96"/>
    <mergeCell ref="C94:C96"/>
    <mergeCell ref="D94:D96"/>
    <mergeCell ref="E94:E96"/>
    <mergeCell ref="F94:F95"/>
    <mergeCell ref="A103:A104"/>
    <mergeCell ref="B103:B104"/>
    <mergeCell ref="C103:C104"/>
    <mergeCell ref="D103:D104"/>
    <mergeCell ref="E103:E104"/>
    <mergeCell ref="F104:H104"/>
    <mergeCell ref="A101:A102"/>
    <mergeCell ref="B101:B102"/>
    <mergeCell ref="C101:C102"/>
    <mergeCell ref="D101:D102"/>
    <mergeCell ref="E101:E102"/>
    <mergeCell ref="F102:H102"/>
    <mergeCell ref="A108:A111"/>
    <mergeCell ref="B108:B111"/>
    <mergeCell ref="C108:C111"/>
    <mergeCell ref="D108:D111"/>
    <mergeCell ref="E108:E111"/>
    <mergeCell ref="F111:H111"/>
    <mergeCell ref="A105:A107"/>
    <mergeCell ref="B105:B107"/>
    <mergeCell ref="C105:C107"/>
    <mergeCell ref="D105:D107"/>
    <mergeCell ref="E105:E107"/>
    <mergeCell ref="F107:H107"/>
    <mergeCell ref="C112:H112"/>
    <mergeCell ref="C113:X113"/>
    <mergeCell ref="A114:A118"/>
    <mergeCell ref="B114:B118"/>
    <mergeCell ref="C114:C118"/>
    <mergeCell ref="D114:D118"/>
    <mergeCell ref="E114:E118"/>
    <mergeCell ref="F114:F117"/>
    <mergeCell ref="G114:G117"/>
    <mergeCell ref="F118:H118"/>
    <mergeCell ref="G119:G120"/>
    <mergeCell ref="F121:H121"/>
    <mergeCell ref="A122:A124"/>
    <mergeCell ref="B122:B124"/>
    <mergeCell ref="C122:C124"/>
    <mergeCell ref="D122:D124"/>
    <mergeCell ref="E122:E124"/>
    <mergeCell ref="F122:F123"/>
    <mergeCell ref="G122:G123"/>
    <mergeCell ref="F124:H124"/>
    <mergeCell ref="A119:A121"/>
    <mergeCell ref="B119:B121"/>
    <mergeCell ref="C119:C121"/>
    <mergeCell ref="D119:D121"/>
    <mergeCell ref="E119:E121"/>
    <mergeCell ref="F119:F120"/>
    <mergeCell ref="A132:A133"/>
    <mergeCell ref="B132:B133"/>
    <mergeCell ref="C132:C133"/>
    <mergeCell ref="D132:D133"/>
    <mergeCell ref="E132:E133"/>
    <mergeCell ref="F133:H133"/>
    <mergeCell ref="G125:G126"/>
    <mergeCell ref="F127:H127"/>
    <mergeCell ref="C128:H128"/>
    <mergeCell ref="B129:H129"/>
    <mergeCell ref="B130:X130"/>
    <mergeCell ref="C131:X131"/>
    <mergeCell ref="A125:A127"/>
    <mergeCell ref="B125:B127"/>
    <mergeCell ref="C125:C127"/>
    <mergeCell ref="D125:D127"/>
    <mergeCell ref="E125:E127"/>
    <mergeCell ref="F125:F126"/>
    <mergeCell ref="C134:H134"/>
    <mergeCell ref="C135:X135"/>
    <mergeCell ref="A136:A139"/>
    <mergeCell ref="B136:B139"/>
    <mergeCell ref="C136:C139"/>
    <mergeCell ref="D136:D139"/>
    <mergeCell ref="E136:E137"/>
    <mergeCell ref="F136:F138"/>
    <mergeCell ref="G136:G137"/>
    <mergeCell ref="F139:H139"/>
    <mergeCell ref="G140:G143"/>
    <mergeCell ref="F144:H144"/>
    <mergeCell ref="C145:H145"/>
    <mergeCell ref="B146:H146"/>
    <mergeCell ref="B147:X147"/>
    <mergeCell ref="C148:X148"/>
    <mergeCell ref="A140:A144"/>
    <mergeCell ref="B140:B144"/>
    <mergeCell ref="C140:C144"/>
    <mergeCell ref="D140:D144"/>
    <mergeCell ref="E140:E144"/>
    <mergeCell ref="F140:F143"/>
    <mergeCell ref="G149:G150"/>
    <mergeCell ref="F151:H151"/>
    <mergeCell ref="A152:A153"/>
    <mergeCell ref="B152:B153"/>
    <mergeCell ref="C152:C153"/>
    <mergeCell ref="D152:D153"/>
    <mergeCell ref="E152:E153"/>
    <mergeCell ref="F153:H153"/>
    <mergeCell ref="A149:A151"/>
    <mergeCell ref="B149:B151"/>
    <mergeCell ref="C149:C151"/>
    <mergeCell ref="D149:D151"/>
    <mergeCell ref="E149:E151"/>
    <mergeCell ref="F149:F150"/>
    <mergeCell ref="F160:H160"/>
    <mergeCell ref="A156:A158"/>
    <mergeCell ref="B156:B158"/>
    <mergeCell ref="C156:C158"/>
    <mergeCell ref="D156:D158"/>
    <mergeCell ref="E156:E158"/>
    <mergeCell ref="F156:F157"/>
    <mergeCell ref="A154:A155"/>
    <mergeCell ref="B154:B155"/>
    <mergeCell ref="C154:C155"/>
    <mergeCell ref="D154:D155"/>
    <mergeCell ref="E154:E155"/>
    <mergeCell ref="F155:H155"/>
    <mergeCell ref="A173:H173"/>
    <mergeCell ref="A174:H174"/>
    <mergeCell ref="G105:G106"/>
    <mergeCell ref="G108:G110"/>
    <mergeCell ref="F108:F110"/>
    <mergeCell ref="A167:H167"/>
    <mergeCell ref="A168:H168"/>
    <mergeCell ref="A169:H169"/>
    <mergeCell ref="A170:H170"/>
    <mergeCell ref="A171:H171"/>
    <mergeCell ref="A172:H172"/>
    <mergeCell ref="C161:H161"/>
    <mergeCell ref="B162:H162"/>
    <mergeCell ref="A163:H163"/>
    <mergeCell ref="A164:H164"/>
    <mergeCell ref="A165:H165"/>
    <mergeCell ref="A166:H166"/>
    <mergeCell ref="G156:G157"/>
    <mergeCell ref="F158:H158"/>
    <mergeCell ref="A159:A160"/>
    <mergeCell ref="B159:B160"/>
    <mergeCell ref="C159:C160"/>
    <mergeCell ref="D159:D160"/>
    <mergeCell ref="E159:E160"/>
  </mergeCells>
  <pageMargins left="0.23622047244094491" right="0.23622047244094491" top="0.74803149606299213" bottom="0.74803149606299213" header="0.31496062992125984" footer="0.31496062992125984"/>
  <pageSetup paperSize="9" scale="83" fitToHeight="17" orientation="landscape" r:id="rId1"/>
  <headerFooter alignWithMargins="0">
    <oddHeader>&amp;C&amp;P&amp;R5 programa</oddHeader>
  </headerFooter>
  <rowBreaks count="4" manualBreakCount="4">
    <brk id="26" max="23" man="1"/>
    <brk id="49" max="23" man="1"/>
    <brk id="70" max="23" man="1"/>
    <brk id="10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20"/>
  <sheetViews>
    <sheetView showZeros="0" topLeftCell="A88" zoomScaleNormal="100" workbookViewId="0">
      <selection activeCell="Q310" sqref="Q310"/>
    </sheetView>
  </sheetViews>
  <sheetFormatPr defaultColWidth="8.85546875" defaultRowHeight="15" x14ac:dyDescent="0.25"/>
  <cols>
    <col min="1" max="3" width="2.5703125" style="1754" customWidth="1"/>
    <col min="4" max="4" width="22.85546875" style="1755" customWidth="1"/>
    <col min="5" max="5" width="8.42578125" style="1754" customWidth="1"/>
    <col min="6" max="6" width="8.85546875" style="1755"/>
    <col min="7" max="7" width="8.42578125" style="1749" customWidth="1"/>
    <col min="8" max="8" width="7.28515625" style="1755" customWidth="1"/>
    <col min="9" max="9" width="8.85546875" style="1560" customWidth="1"/>
    <col min="10" max="12" width="8.85546875" style="1561" customWidth="1"/>
    <col min="13" max="13" width="9.28515625" style="1561" customWidth="1"/>
    <col min="14" max="15" width="7" style="1561" customWidth="1"/>
    <col min="16" max="16" width="9.140625" style="1561" customWidth="1"/>
    <col min="17" max="17" width="7" style="1560" customWidth="1"/>
    <col min="18" max="18" width="7.42578125" style="1561" bestFit="1" customWidth="1"/>
    <col min="19" max="19" width="6.85546875" style="1561" customWidth="1"/>
    <col min="20" max="20" width="7.5703125" style="1561" customWidth="1"/>
    <col min="21" max="21" width="7.7109375" style="1756" customWidth="1"/>
    <col min="22" max="22" width="8.7109375" style="1756" customWidth="1"/>
    <col min="23" max="23" width="7.85546875" style="1756" customWidth="1"/>
    <col min="24" max="24" width="8.85546875" style="1756" customWidth="1"/>
    <col min="25" max="32" width="8.85546875" style="2046"/>
    <col min="33" max="33" width="8.85546875" style="2046" customWidth="1"/>
    <col min="34" max="16384" width="8.85546875" style="2046"/>
  </cols>
  <sheetData>
    <row r="1" spans="1:24" ht="43.5" customHeight="1" x14ac:dyDescent="0.25">
      <c r="A1" s="2295"/>
      <c r="B1" s="2296"/>
      <c r="C1" s="2296"/>
      <c r="D1" s="2297"/>
      <c r="E1" s="2296"/>
      <c r="F1" s="2298"/>
      <c r="G1" s="2299"/>
      <c r="H1" s="2298"/>
      <c r="I1" s="2300"/>
      <c r="J1" s="2300"/>
      <c r="K1" s="2300"/>
      <c r="L1" s="2300"/>
      <c r="M1" s="2300"/>
      <c r="N1" s="2300"/>
      <c r="O1" s="2300"/>
      <c r="P1" s="2300"/>
      <c r="Q1" s="2301"/>
      <c r="R1" s="2302"/>
      <c r="S1" s="2302"/>
      <c r="T1" s="2302"/>
      <c r="U1" s="3290" t="s">
        <v>223</v>
      </c>
      <c r="V1" s="3290"/>
      <c r="W1" s="3290"/>
      <c r="X1" s="3291"/>
    </row>
    <row r="2" spans="1:24" ht="15.75" x14ac:dyDescent="0.25">
      <c r="A2" s="3306" t="s">
        <v>628</v>
      </c>
      <c r="B2" s="3307"/>
      <c r="C2" s="3307"/>
      <c r="D2" s="3307"/>
      <c r="E2" s="3307"/>
      <c r="F2" s="3307"/>
      <c r="G2" s="3307"/>
      <c r="H2" s="3307"/>
      <c r="I2" s="3307"/>
      <c r="J2" s="3307"/>
      <c r="K2" s="3307"/>
      <c r="L2" s="3307"/>
      <c r="M2" s="3307"/>
      <c r="N2" s="3307"/>
      <c r="O2" s="3307"/>
      <c r="P2" s="3307"/>
      <c r="Q2" s="3307"/>
      <c r="R2" s="3307"/>
      <c r="S2" s="3307"/>
      <c r="T2" s="3307"/>
      <c r="U2" s="3307"/>
      <c r="V2" s="3307"/>
      <c r="W2" s="3307"/>
      <c r="X2" s="3308"/>
    </row>
    <row r="3" spans="1:24" ht="19.5" customHeight="1" thickBot="1" x14ac:dyDescent="0.3">
      <c r="A3" s="3292"/>
      <c r="B3" s="3293"/>
      <c r="C3" s="3293"/>
      <c r="D3" s="3293"/>
      <c r="E3" s="3293"/>
      <c r="F3" s="3293"/>
      <c r="G3" s="3293"/>
      <c r="H3" s="3293"/>
      <c r="I3" s="2303"/>
      <c r="J3" s="3294"/>
      <c r="K3" s="3294"/>
      <c r="L3" s="3294"/>
      <c r="M3" s="2304"/>
      <c r="N3" s="2304"/>
      <c r="O3" s="2304"/>
      <c r="P3" s="2304"/>
      <c r="Q3" s="2303"/>
      <c r="R3" s="2303"/>
      <c r="S3" s="2303"/>
      <c r="T3" s="2303"/>
      <c r="U3" s="2305"/>
      <c r="V3" s="3294" t="s">
        <v>2</v>
      </c>
      <c r="W3" s="3294"/>
      <c r="X3" s="3295"/>
    </row>
    <row r="4" spans="1:24" ht="12.75" customHeight="1" x14ac:dyDescent="0.25">
      <c r="A4" s="3296" t="s">
        <v>3</v>
      </c>
      <c r="B4" s="3299" t="s">
        <v>4</v>
      </c>
      <c r="C4" s="3299" t="s">
        <v>5</v>
      </c>
      <c r="D4" s="3302" t="s">
        <v>6</v>
      </c>
      <c r="E4" s="3299" t="s">
        <v>7</v>
      </c>
      <c r="F4" s="3279" t="s">
        <v>8</v>
      </c>
      <c r="G4" s="3279" t="s">
        <v>9</v>
      </c>
      <c r="H4" s="3282" t="s">
        <v>10</v>
      </c>
      <c r="I4" s="3285" t="s">
        <v>11</v>
      </c>
      <c r="J4" s="3286"/>
      <c r="K4" s="3286"/>
      <c r="L4" s="3287"/>
      <c r="M4" s="3288" t="s">
        <v>12</v>
      </c>
      <c r="N4" s="3288"/>
      <c r="O4" s="3288"/>
      <c r="P4" s="3289"/>
      <c r="Q4" s="3288" t="s">
        <v>13</v>
      </c>
      <c r="R4" s="3288"/>
      <c r="S4" s="3288"/>
      <c r="T4" s="3289"/>
      <c r="U4" s="3305" t="s">
        <v>14</v>
      </c>
      <c r="V4" s="3288"/>
      <c r="W4" s="3288"/>
      <c r="X4" s="3289"/>
    </row>
    <row r="5" spans="1:24" ht="12.75" customHeight="1" x14ac:dyDescent="0.25">
      <c r="A5" s="3297"/>
      <c r="B5" s="3300"/>
      <c r="C5" s="3300"/>
      <c r="D5" s="3303"/>
      <c r="E5" s="3300"/>
      <c r="F5" s="3280"/>
      <c r="G5" s="3280"/>
      <c r="H5" s="3283"/>
      <c r="I5" s="3309" t="s">
        <v>15</v>
      </c>
      <c r="J5" s="3311" t="s">
        <v>16</v>
      </c>
      <c r="K5" s="3312"/>
      <c r="L5" s="3313"/>
      <c r="M5" s="3314" t="s">
        <v>15</v>
      </c>
      <c r="N5" s="3316" t="s">
        <v>16</v>
      </c>
      <c r="O5" s="3316"/>
      <c r="P5" s="3317"/>
      <c r="Q5" s="3314" t="s">
        <v>15</v>
      </c>
      <c r="R5" s="3316" t="s">
        <v>16</v>
      </c>
      <c r="S5" s="3316"/>
      <c r="T5" s="3317"/>
      <c r="U5" s="3318" t="s">
        <v>15</v>
      </c>
      <c r="V5" s="3316" t="s">
        <v>16</v>
      </c>
      <c r="W5" s="3316"/>
      <c r="X5" s="3317"/>
    </row>
    <row r="6" spans="1:24" ht="12.75" customHeight="1" x14ac:dyDescent="0.25">
      <c r="A6" s="3297"/>
      <c r="B6" s="3300"/>
      <c r="C6" s="3300"/>
      <c r="D6" s="3303"/>
      <c r="E6" s="3300"/>
      <c r="F6" s="3280"/>
      <c r="G6" s="3280"/>
      <c r="H6" s="3283"/>
      <c r="I6" s="3310"/>
      <c r="J6" s="3311" t="s">
        <v>17</v>
      </c>
      <c r="K6" s="3320"/>
      <c r="L6" s="3321" t="s">
        <v>18</v>
      </c>
      <c r="M6" s="3314"/>
      <c r="N6" s="3316" t="s">
        <v>17</v>
      </c>
      <c r="O6" s="3316"/>
      <c r="P6" s="3323" t="s">
        <v>18</v>
      </c>
      <c r="Q6" s="3314"/>
      <c r="R6" s="3316" t="s">
        <v>17</v>
      </c>
      <c r="S6" s="3316"/>
      <c r="T6" s="3323" t="s">
        <v>18</v>
      </c>
      <c r="U6" s="3318"/>
      <c r="V6" s="3316" t="s">
        <v>307</v>
      </c>
      <c r="W6" s="3316"/>
      <c r="X6" s="3323" t="s">
        <v>18</v>
      </c>
    </row>
    <row r="7" spans="1:24" ht="48.75" customHeight="1" thickBot="1" x14ac:dyDescent="0.3">
      <c r="A7" s="3298"/>
      <c r="B7" s="3301"/>
      <c r="C7" s="3301"/>
      <c r="D7" s="3304"/>
      <c r="E7" s="3301"/>
      <c r="F7" s="3281"/>
      <c r="G7" s="3281"/>
      <c r="H7" s="3284"/>
      <c r="I7" s="3310"/>
      <c r="J7" s="2171" t="s">
        <v>15</v>
      </c>
      <c r="K7" s="2177" t="s">
        <v>19</v>
      </c>
      <c r="L7" s="3322"/>
      <c r="M7" s="3315"/>
      <c r="N7" s="2171" t="s">
        <v>15</v>
      </c>
      <c r="O7" s="2177" t="s">
        <v>19</v>
      </c>
      <c r="P7" s="3321"/>
      <c r="Q7" s="3315"/>
      <c r="R7" s="2171" t="s">
        <v>15</v>
      </c>
      <c r="S7" s="2177" t="s">
        <v>19</v>
      </c>
      <c r="T7" s="3321"/>
      <c r="U7" s="3319"/>
      <c r="V7" s="2177" t="s">
        <v>15</v>
      </c>
      <c r="W7" s="2177" t="s">
        <v>19</v>
      </c>
      <c r="X7" s="3321"/>
    </row>
    <row r="8" spans="1:24" s="1562" customFormat="1" ht="13.5" customHeight="1" thickBot="1" x14ac:dyDescent="0.25">
      <c r="A8" s="3324" t="s">
        <v>20</v>
      </c>
      <c r="B8" s="3325"/>
      <c r="C8" s="3325"/>
      <c r="D8" s="3325"/>
      <c r="E8" s="3325"/>
      <c r="F8" s="3325"/>
      <c r="G8" s="3325"/>
      <c r="H8" s="3325"/>
      <c r="I8" s="3325"/>
      <c r="J8" s="3325"/>
      <c r="K8" s="3325"/>
      <c r="L8" s="3325"/>
      <c r="M8" s="3325"/>
      <c r="N8" s="3325"/>
      <c r="O8" s="3325"/>
      <c r="P8" s="3325"/>
      <c r="Q8" s="3325"/>
      <c r="R8" s="3325"/>
      <c r="S8" s="3325"/>
      <c r="T8" s="3325"/>
      <c r="U8" s="3325"/>
      <c r="V8" s="3325"/>
      <c r="W8" s="3325"/>
      <c r="X8" s="3326"/>
    </row>
    <row r="9" spans="1:24" s="1562" customFormat="1" ht="13.5" customHeight="1" thickBot="1" x14ac:dyDescent="0.25">
      <c r="A9" s="3327" t="s">
        <v>629</v>
      </c>
      <c r="B9" s="3328"/>
      <c r="C9" s="3328"/>
      <c r="D9" s="3328"/>
      <c r="E9" s="3328"/>
      <c r="F9" s="3328"/>
      <c r="G9" s="3328"/>
      <c r="H9" s="3328"/>
      <c r="I9" s="3328"/>
      <c r="J9" s="3328"/>
      <c r="K9" s="3328"/>
      <c r="L9" s="3328"/>
      <c r="M9" s="3328"/>
      <c r="N9" s="3328"/>
      <c r="O9" s="3328"/>
      <c r="P9" s="3328"/>
      <c r="Q9" s="3328"/>
      <c r="R9" s="3328"/>
      <c r="S9" s="3328"/>
      <c r="T9" s="3328"/>
      <c r="U9" s="3328"/>
      <c r="V9" s="3328"/>
      <c r="W9" s="3328"/>
      <c r="X9" s="3329"/>
    </row>
    <row r="10" spans="1:24" s="1562" customFormat="1" ht="13.5" customHeight="1" thickBot="1" x14ac:dyDescent="0.25">
      <c r="A10" s="2161">
        <v>1</v>
      </c>
      <c r="B10" s="3330" t="s">
        <v>630</v>
      </c>
      <c r="C10" s="3331"/>
      <c r="D10" s="3331"/>
      <c r="E10" s="3331"/>
      <c r="F10" s="3331"/>
      <c r="G10" s="3331"/>
      <c r="H10" s="3331"/>
      <c r="I10" s="3331"/>
      <c r="J10" s="3331"/>
      <c r="K10" s="3331"/>
      <c r="L10" s="3331"/>
      <c r="M10" s="3331"/>
      <c r="N10" s="3331"/>
      <c r="O10" s="3331"/>
      <c r="P10" s="3331"/>
      <c r="Q10" s="3331"/>
      <c r="R10" s="3331"/>
      <c r="S10" s="3331"/>
      <c r="T10" s="3331"/>
      <c r="U10" s="3331"/>
      <c r="V10" s="3331"/>
      <c r="W10" s="3331"/>
      <c r="X10" s="3332"/>
    </row>
    <row r="11" spans="1:24" s="1562" customFormat="1" ht="13.5" customHeight="1" thickBot="1" x14ac:dyDescent="0.25">
      <c r="A11" s="2162">
        <v>1</v>
      </c>
      <c r="B11" s="1563">
        <v>1</v>
      </c>
      <c r="C11" s="3333" t="s">
        <v>631</v>
      </c>
      <c r="D11" s="3334"/>
      <c r="E11" s="3334"/>
      <c r="F11" s="3334"/>
      <c r="G11" s="3334"/>
      <c r="H11" s="3334"/>
      <c r="I11" s="3334"/>
      <c r="J11" s="3334"/>
      <c r="K11" s="3334"/>
      <c r="L11" s="3334"/>
      <c r="M11" s="3334"/>
      <c r="N11" s="3334"/>
      <c r="O11" s="3334"/>
      <c r="P11" s="3334"/>
      <c r="Q11" s="3334"/>
      <c r="R11" s="3334"/>
      <c r="S11" s="3334"/>
      <c r="T11" s="3334"/>
      <c r="U11" s="3334"/>
      <c r="V11" s="3334"/>
      <c r="W11" s="3334"/>
      <c r="X11" s="3335"/>
    </row>
    <row r="12" spans="1:24" s="1562" customFormat="1" ht="12.75" x14ac:dyDescent="0.2">
      <c r="A12" s="3336">
        <v>1</v>
      </c>
      <c r="B12" s="3337">
        <v>1</v>
      </c>
      <c r="C12" s="3339">
        <v>1</v>
      </c>
      <c r="D12" s="3340" t="s">
        <v>632</v>
      </c>
      <c r="E12" s="3341">
        <v>19</v>
      </c>
      <c r="F12" s="3342" t="s">
        <v>291</v>
      </c>
      <c r="G12" s="3342" t="s">
        <v>633</v>
      </c>
      <c r="H12" s="1564" t="s">
        <v>30</v>
      </c>
      <c r="I12" s="1565">
        <f t="shared" ref="I12" si="0">J12+L12</f>
        <v>30.7</v>
      </c>
      <c r="J12" s="2163">
        <f>24+6.7</f>
        <v>30.7</v>
      </c>
      <c r="K12" s="2163">
        <v>0</v>
      </c>
      <c r="L12" s="1566">
        <v>0</v>
      </c>
      <c r="M12" s="1565">
        <f t="shared" ref="M12:M25" si="1">N12+P12</f>
        <v>12.4</v>
      </c>
      <c r="N12" s="1938">
        <v>12.4</v>
      </c>
      <c r="O12" s="2163">
        <v>0</v>
      </c>
      <c r="P12" s="1566">
        <v>0</v>
      </c>
      <c r="Q12" s="1565">
        <f t="shared" ref="Q12" si="2">R12+T12</f>
        <v>42.435577692620043</v>
      </c>
      <c r="R12" s="2163">
        <v>42.435577692620043</v>
      </c>
      <c r="S12" s="2163">
        <v>0</v>
      </c>
      <c r="T12" s="1566">
        <v>0</v>
      </c>
      <c r="U12" s="1565">
        <f t="shared" ref="U12" si="3">V12+X12</f>
        <v>42.435577692620043</v>
      </c>
      <c r="V12" s="2163">
        <v>42.435577692620043</v>
      </c>
      <c r="W12" s="2163">
        <v>0</v>
      </c>
      <c r="X12" s="1566">
        <v>0</v>
      </c>
    </row>
    <row r="13" spans="1:24" s="1562" customFormat="1" ht="12.75" customHeight="1" thickBot="1" x14ac:dyDescent="0.25">
      <c r="A13" s="3336"/>
      <c r="B13" s="3338"/>
      <c r="C13" s="3339"/>
      <c r="D13" s="3340"/>
      <c r="E13" s="3341"/>
      <c r="F13" s="3342"/>
      <c r="G13" s="3342"/>
      <c r="H13" s="2173" t="s">
        <v>634</v>
      </c>
      <c r="I13" s="1565"/>
      <c r="J13" s="2163"/>
      <c r="K13" s="2163"/>
      <c r="L13" s="1566"/>
      <c r="M13" s="1565">
        <f t="shared" si="1"/>
        <v>31.2</v>
      </c>
      <c r="N13" s="1938">
        <v>31.2</v>
      </c>
      <c r="O13" s="2163"/>
      <c r="P13" s="1566"/>
      <c r="Q13" s="1565"/>
      <c r="R13" s="2163"/>
      <c r="S13" s="2163"/>
      <c r="T13" s="1566"/>
      <c r="U13" s="1565"/>
      <c r="V13" s="2163"/>
      <c r="W13" s="2163"/>
      <c r="X13" s="1566"/>
    </row>
    <row r="14" spans="1:24" s="1562" customFormat="1" ht="12.75" customHeight="1" thickBot="1" x14ac:dyDescent="0.25">
      <c r="A14" s="3336"/>
      <c r="B14" s="3338"/>
      <c r="C14" s="3339"/>
      <c r="D14" s="3340"/>
      <c r="E14" s="3341"/>
      <c r="F14" s="3343" t="s">
        <v>35</v>
      </c>
      <c r="G14" s="3344"/>
      <c r="H14" s="3344"/>
      <c r="I14" s="1567">
        <f t="shared" ref="I14:I15" si="4">J14+L14</f>
        <v>30.7</v>
      </c>
      <c r="J14" s="1568">
        <f>SUM(J12:J13)</f>
        <v>30.7</v>
      </c>
      <c r="K14" s="1568">
        <f>SUM(K12:K13)</f>
        <v>0</v>
      </c>
      <c r="L14" s="1569">
        <f>SUM(L12:L13)</f>
        <v>0</v>
      </c>
      <c r="M14" s="1567">
        <f t="shared" si="1"/>
        <v>43.6</v>
      </c>
      <c r="N14" s="1568">
        <f>SUM(N12:N13)</f>
        <v>43.6</v>
      </c>
      <c r="O14" s="1568">
        <f>SUM(O12:O13)</f>
        <v>0</v>
      </c>
      <c r="P14" s="1569">
        <f>SUM(P12:P13)</f>
        <v>0</v>
      </c>
      <c r="Q14" s="1567">
        <f t="shared" ref="Q14:Q15" si="5">R14+T14</f>
        <v>42.435577692620043</v>
      </c>
      <c r="R14" s="1568">
        <f>SUM(R12:R13)</f>
        <v>42.435577692620043</v>
      </c>
      <c r="S14" s="1568">
        <f>SUM(S12:S13)</f>
        <v>0</v>
      </c>
      <c r="T14" s="1569">
        <f>SUM(T12:T13)</f>
        <v>0</v>
      </c>
      <c r="U14" s="1567">
        <f t="shared" ref="U14:U15" si="6">V14+X14</f>
        <v>42.435577692620043</v>
      </c>
      <c r="V14" s="1568">
        <f>SUM(V12:V13)</f>
        <v>42.435577692620043</v>
      </c>
      <c r="W14" s="1568">
        <f>SUM(W12:W13)</f>
        <v>0</v>
      </c>
      <c r="X14" s="1569">
        <f>SUM(X12:X13)</f>
        <v>0</v>
      </c>
    </row>
    <row r="15" spans="1:24" s="1562" customFormat="1" ht="12.75" x14ac:dyDescent="0.2">
      <c r="A15" s="3336">
        <v>1</v>
      </c>
      <c r="B15" s="3337">
        <v>1</v>
      </c>
      <c r="C15" s="3345">
        <v>2</v>
      </c>
      <c r="D15" s="3304" t="s">
        <v>635</v>
      </c>
      <c r="E15" s="3347">
        <v>20</v>
      </c>
      <c r="F15" s="3348" t="s">
        <v>291</v>
      </c>
      <c r="G15" s="3348" t="s">
        <v>636</v>
      </c>
      <c r="H15" s="2150" t="s">
        <v>30</v>
      </c>
      <c r="I15" s="1565">
        <f t="shared" si="4"/>
        <v>59.5</v>
      </c>
      <c r="J15" s="1938">
        <v>59.5</v>
      </c>
      <c r="K15" s="2163">
        <v>0</v>
      </c>
      <c r="L15" s="1566">
        <v>0</v>
      </c>
      <c r="M15" s="1937">
        <f t="shared" si="1"/>
        <v>25.1</v>
      </c>
      <c r="N15" s="1938">
        <v>25.1</v>
      </c>
      <c r="O15" s="2163">
        <v>0</v>
      </c>
      <c r="P15" s="1566">
        <v>0</v>
      </c>
      <c r="Q15" s="1565">
        <f t="shared" si="5"/>
        <v>85.071122195544717</v>
      </c>
      <c r="R15" s="2163">
        <v>85.071122195544717</v>
      </c>
      <c r="S15" s="2163">
        <v>0</v>
      </c>
      <c r="T15" s="1566">
        <v>0</v>
      </c>
      <c r="U15" s="1565">
        <f t="shared" si="6"/>
        <v>85.071122195544717</v>
      </c>
      <c r="V15" s="2163">
        <v>85.071122195544717</v>
      </c>
      <c r="W15" s="2163">
        <v>0</v>
      </c>
      <c r="X15" s="1566">
        <v>0</v>
      </c>
    </row>
    <row r="16" spans="1:24" s="1562" customFormat="1" ht="12.75" customHeight="1" thickBot="1" x14ac:dyDescent="0.25">
      <c r="A16" s="3336"/>
      <c r="B16" s="3338"/>
      <c r="C16" s="3339"/>
      <c r="D16" s="3346"/>
      <c r="E16" s="3341"/>
      <c r="F16" s="3342"/>
      <c r="G16" s="3342"/>
      <c r="H16" s="2173" t="s">
        <v>634</v>
      </c>
      <c r="I16" s="1565"/>
      <c r="J16" s="2163"/>
      <c r="K16" s="2163"/>
      <c r="L16" s="1566"/>
      <c r="M16" s="1565">
        <f t="shared" si="1"/>
        <v>64.7</v>
      </c>
      <c r="N16" s="1938">
        <v>64.7</v>
      </c>
      <c r="O16" s="2163"/>
      <c r="P16" s="1566"/>
      <c r="Q16" s="1565"/>
      <c r="R16" s="2163"/>
      <c r="S16" s="2163"/>
      <c r="T16" s="1566"/>
      <c r="U16" s="1565"/>
      <c r="V16" s="2163"/>
      <c r="W16" s="2163"/>
      <c r="X16" s="1566"/>
    </row>
    <row r="17" spans="1:26" s="1562" customFormat="1" ht="12.75" customHeight="1" thickBot="1" x14ac:dyDescent="0.25">
      <c r="A17" s="3336"/>
      <c r="B17" s="3338"/>
      <c r="C17" s="3339"/>
      <c r="D17" s="3346"/>
      <c r="E17" s="3341"/>
      <c r="F17" s="3343" t="s">
        <v>35</v>
      </c>
      <c r="G17" s="3344"/>
      <c r="H17" s="3344"/>
      <c r="I17" s="1567">
        <f t="shared" ref="I17:I18" si="7">J17+L17</f>
        <v>59.5</v>
      </c>
      <c r="J17" s="1568">
        <f>SUM(J15:J16)</f>
        <v>59.5</v>
      </c>
      <c r="K17" s="1568">
        <f>SUM(K15:K16)</f>
        <v>0</v>
      </c>
      <c r="L17" s="1569">
        <f>SUM(L15:L16)</f>
        <v>0</v>
      </c>
      <c r="M17" s="1567">
        <f t="shared" si="1"/>
        <v>89.800000000000011</v>
      </c>
      <c r="N17" s="1568">
        <f>SUM(N15:N16)</f>
        <v>89.800000000000011</v>
      </c>
      <c r="O17" s="1568">
        <f>SUM(O15:O16)</f>
        <v>0</v>
      </c>
      <c r="P17" s="1569">
        <f>SUM(P15:P16)</f>
        <v>0</v>
      </c>
      <c r="Q17" s="1567">
        <f t="shared" ref="Q17:Q18" si="8">R17+T17</f>
        <v>85.071122195544717</v>
      </c>
      <c r="R17" s="1568">
        <f>SUM(R15:R16)</f>
        <v>85.071122195544717</v>
      </c>
      <c r="S17" s="1568">
        <f>SUM(S15:S16)</f>
        <v>0</v>
      </c>
      <c r="T17" s="1569">
        <f>SUM(T15:T16)</f>
        <v>0</v>
      </c>
      <c r="U17" s="1567">
        <f t="shared" ref="U17:U18" si="9">V17+X17</f>
        <v>85.071122195544717</v>
      </c>
      <c r="V17" s="1568">
        <f>SUM(V15:V16)</f>
        <v>85.071122195544717</v>
      </c>
      <c r="W17" s="1568">
        <f>SUM(W15:W16)</f>
        <v>0</v>
      </c>
      <c r="X17" s="1569">
        <f>SUM(X15:X16)</f>
        <v>0</v>
      </c>
    </row>
    <row r="18" spans="1:26" s="1562" customFormat="1" ht="12.75" x14ac:dyDescent="0.2">
      <c r="A18" s="3336">
        <v>1</v>
      </c>
      <c r="B18" s="3337">
        <v>1</v>
      </c>
      <c r="C18" s="3345">
        <v>3</v>
      </c>
      <c r="D18" s="3304" t="s">
        <v>637</v>
      </c>
      <c r="E18" s="3347">
        <v>21</v>
      </c>
      <c r="F18" s="3348" t="s">
        <v>291</v>
      </c>
      <c r="G18" s="3348" t="s">
        <v>638</v>
      </c>
      <c r="H18" s="2150" t="s">
        <v>30</v>
      </c>
      <c r="I18" s="1565">
        <f t="shared" si="7"/>
        <v>86.5</v>
      </c>
      <c r="J18" s="1938">
        <v>86.5</v>
      </c>
      <c r="K18" s="2163">
        <v>0</v>
      </c>
      <c r="L18" s="1566">
        <v>0</v>
      </c>
      <c r="M18" s="1937">
        <f t="shared" si="1"/>
        <v>38.700000000000003</v>
      </c>
      <c r="N18" s="1938">
        <v>38.700000000000003</v>
      </c>
      <c r="O18" s="2163">
        <v>0</v>
      </c>
      <c r="P18" s="1566">
        <v>0</v>
      </c>
      <c r="Q18" s="1565">
        <f t="shared" si="8"/>
        <v>128.71992857457411</v>
      </c>
      <c r="R18" s="2163">
        <v>128.71992857457411</v>
      </c>
      <c r="S18" s="2163">
        <v>0</v>
      </c>
      <c r="T18" s="1566">
        <v>0</v>
      </c>
      <c r="U18" s="1565">
        <f t="shared" si="9"/>
        <v>128.71992857457411</v>
      </c>
      <c r="V18" s="2163">
        <v>128.71992857457411</v>
      </c>
      <c r="W18" s="2163">
        <v>0</v>
      </c>
      <c r="X18" s="1566">
        <v>0</v>
      </c>
    </row>
    <row r="19" spans="1:26" s="1562" customFormat="1" ht="12.75" customHeight="1" thickBot="1" x14ac:dyDescent="0.25">
      <c r="A19" s="3336"/>
      <c r="B19" s="3338"/>
      <c r="C19" s="3339"/>
      <c r="D19" s="3346"/>
      <c r="E19" s="3341"/>
      <c r="F19" s="3342"/>
      <c r="G19" s="3342"/>
      <c r="H19" s="2170" t="s">
        <v>634</v>
      </c>
      <c r="I19" s="1565"/>
      <c r="J19" s="2163"/>
      <c r="K19" s="2163"/>
      <c r="L19" s="1566"/>
      <c r="M19" s="1937">
        <f t="shared" si="1"/>
        <v>115.7</v>
      </c>
      <c r="N19" s="1938">
        <v>115.7</v>
      </c>
      <c r="O19" s="2163"/>
      <c r="P19" s="1566"/>
      <c r="Q19" s="1565"/>
      <c r="R19" s="2163"/>
      <c r="S19" s="2163"/>
      <c r="T19" s="1566"/>
      <c r="U19" s="1565"/>
      <c r="V19" s="2163"/>
      <c r="W19" s="2163"/>
      <c r="X19" s="1566"/>
    </row>
    <row r="20" spans="1:26" s="1562" customFormat="1" ht="12.75" customHeight="1" thickBot="1" x14ac:dyDescent="0.25">
      <c r="A20" s="3336"/>
      <c r="B20" s="3338"/>
      <c r="C20" s="3339"/>
      <c r="D20" s="3346"/>
      <c r="E20" s="3341"/>
      <c r="F20" s="3343" t="s">
        <v>35</v>
      </c>
      <c r="G20" s="3344"/>
      <c r="H20" s="3344"/>
      <c r="I20" s="1567">
        <f t="shared" ref="I20:I21" si="10">J20+L20</f>
        <v>86.5</v>
      </c>
      <c r="J20" s="1568">
        <f>SUM(J18:J19)</f>
        <v>86.5</v>
      </c>
      <c r="K20" s="1568">
        <f>SUM(K18:K19)</f>
        <v>0</v>
      </c>
      <c r="L20" s="1569">
        <f>SUM(L18:L19)</f>
        <v>0</v>
      </c>
      <c r="M20" s="1567">
        <f t="shared" si="1"/>
        <v>154.4</v>
      </c>
      <c r="N20" s="1568">
        <f>SUM(N18:N19)</f>
        <v>154.4</v>
      </c>
      <c r="O20" s="1568">
        <f>SUM(O18:O19)</f>
        <v>0</v>
      </c>
      <c r="P20" s="1569">
        <f>SUM(P18:P19)</f>
        <v>0</v>
      </c>
      <c r="Q20" s="1567">
        <f t="shared" ref="Q20:Q21" si="11">R20+T20</f>
        <v>128.71992857457411</v>
      </c>
      <c r="R20" s="1568">
        <f>SUM(R18:R19)</f>
        <v>128.71992857457411</v>
      </c>
      <c r="S20" s="1568">
        <f>SUM(S18:S19)</f>
        <v>0</v>
      </c>
      <c r="T20" s="1569">
        <f>SUM(T18:T19)</f>
        <v>0</v>
      </c>
      <c r="U20" s="1567">
        <f t="shared" ref="U20:U21" si="12">V20+X20</f>
        <v>128.71992857457411</v>
      </c>
      <c r="V20" s="1568">
        <f>SUM(V18:V19)</f>
        <v>128.71992857457411</v>
      </c>
      <c r="W20" s="1568">
        <f>SUM(W18:W19)</f>
        <v>0</v>
      </c>
      <c r="X20" s="1569">
        <f>SUM(X18:X19)</f>
        <v>0</v>
      </c>
    </row>
    <row r="21" spans="1:26" s="1562" customFormat="1" ht="12.75" x14ac:dyDescent="0.2">
      <c r="A21" s="3336">
        <v>1</v>
      </c>
      <c r="B21" s="3337">
        <v>1</v>
      </c>
      <c r="C21" s="3345">
        <v>4</v>
      </c>
      <c r="D21" s="3304" t="s">
        <v>639</v>
      </c>
      <c r="E21" s="3347">
        <v>22</v>
      </c>
      <c r="F21" s="3348" t="s">
        <v>291</v>
      </c>
      <c r="G21" s="3348" t="s">
        <v>640</v>
      </c>
      <c r="H21" s="2150" t="s">
        <v>30</v>
      </c>
      <c r="I21" s="1565">
        <f t="shared" si="10"/>
        <v>53.6</v>
      </c>
      <c r="J21" s="2163">
        <f>34+9.6</f>
        <v>43.6</v>
      </c>
      <c r="K21" s="2163">
        <v>0</v>
      </c>
      <c r="L21" s="1566">
        <v>10</v>
      </c>
      <c r="M21" s="1937">
        <f t="shared" si="1"/>
        <v>17.5</v>
      </c>
      <c r="N21" s="1938">
        <v>17.5</v>
      </c>
      <c r="O21" s="2163">
        <v>0</v>
      </c>
      <c r="P21" s="1566">
        <v>0</v>
      </c>
      <c r="Q21" s="1565">
        <f t="shared" si="11"/>
        <v>60.475916556141094</v>
      </c>
      <c r="R21" s="2163">
        <v>60.475916556141094</v>
      </c>
      <c r="S21" s="2163">
        <v>0</v>
      </c>
      <c r="T21" s="1566">
        <v>0</v>
      </c>
      <c r="U21" s="1565">
        <f t="shared" si="12"/>
        <v>60.475916556141094</v>
      </c>
      <c r="V21" s="2163">
        <v>60.475916556141094</v>
      </c>
      <c r="W21" s="2163">
        <v>0</v>
      </c>
      <c r="X21" s="1566">
        <v>0</v>
      </c>
    </row>
    <row r="22" spans="1:26" s="1562" customFormat="1" ht="12.75" customHeight="1" thickBot="1" x14ac:dyDescent="0.25">
      <c r="A22" s="3336"/>
      <c r="B22" s="3338"/>
      <c r="C22" s="3339"/>
      <c r="D22" s="3346"/>
      <c r="E22" s="3341"/>
      <c r="F22" s="3342"/>
      <c r="G22" s="3342"/>
      <c r="H22" s="2164" t="s">
        <v>634</v>
      </c>
      <c r="I22" s="1565"/>
      <c r="J22" s="2163"/>
      <c r="K22" s="2163"/>
      <c r="L22" s="1566"/>
      <c r="M22" s="1937">
        <f t="shared" si="1"/>
        <v>46.7</v>
      </c>
      <c r="N22" s="1938">
        <v>46.7</v>
      </c>
      <c r="O22" s="2163"/>
      <c r="P22" s="1566"/>
      <c r="Q22" s="1565"/>
      <c r="R22" s="2163"/>
      <c r="S22" s="2163"/>
      <c r="T22" s="1566"/>
      <c r="U22" s="1565"/>
      <c r="V22" s="2163"/>
      <c r="W22" s="2163"/>
      <c r="X22" s="1566"/>
    </row>
    <row r="23" spans="1:26" s="1562" customFormat="1" ht="12.75" customHeight="1" thickBot="1" x14ac:dyDescent="0.25">
      <c r="A23" s="3336"/>
      <c r="B23" s="3338"/>
      <c r="C23" s="3339"/>
      <c r="D23" s="3346"/>
      <c r="E23" s="3341"/>
      <c r="F23" s="3349" t="s">
        <v>35</v>
      </c>
      <c r="G23" s="3350"/>
      <c r="H23" s="3351"/>
      <c r="I23" s="1567">
        <f t="shared" ref="I23:I24" si="13">J23+L23</f>
        <v>53.6</v>
      </c>
      <c r="J23" s="1568">
        <f>SUM(J21:J22)</f>
        <v>43.6</v>
      </c>
      <c r="K23" s="1568">
        <f>SUM(K21:K22)</f>
        <v>0</v>
      </c>
      <c r="L23" s="1569">
        <f>SUM(L21:L22)</f>
        <v>10</v>
      </c>
      <c r="M23" s="1567">
        <f t="shared" si="1"/>
        <v>64.2</v>
      </c>
      <c r="N23" s="1568">
        <f>SUM(N21:N22)</f>
        <v>64.2</v>
      </c>
      <c r="O23" s="1568">
        <f>SUM(O21:O22)</f>
        <v>0</v>
      </c>
      <c r="P23" s="1569">
        <f>SUM(P21:P22)</f>
        <v>0</v>
      </c>
      <c r="Q23" s="1567">
        <f t="shared" ref="Q23:Q24" si="14">R23+T23</f>
        <v>60.475916556141094</v>
      </c>
      <c r="R23" s="1568">
        <f>SUM(R21:R22)</f>
        <v>60.475916556141094</v>
      </c>
      <c r="S23" s="1568">
        <f>SUM(S21:S22)</f>
        <v>0</v>
      </c>
      <c r="T23" s="1569">
        <f>SUM(T21:T22)</f>
        <v>0</v>
      </c>
      <c r="U23" s="1567">
        <f t="shared" ref="U23:U24" si="15">V23+X23</f>
        <v>60.475916556141094</v>
      </c>
      <c r="V23" s="1568">
        <f>SUM(V21:V22)</f>
        <v>60.475916556141094</v>
      </c>
      <c r="W23" s="1568">
        <f>SUM(W21:W22)</f>
        <v>0</v>
      </c>
      <c r="X23" s="1569">
        <f>SUM(X21:X22)</f>
        <v>0</v>
      </c>
    </row>
    <row r="24" spans="1:26" s="1562" customFormat="1" ht="55.5" customHeight="1" x14ac:dyDescent="0.2">
      <c r="A24" s="3336">
        <v>1</v>
      </c>
      <c r="B24" s="3337">
        <v>1</v>
      </c>
      <c r="C24" s="3345">
        <v>5</v>
      </c>
      <c r="D24" s="3304" t="s">
        <v>641</v>
      </c>
      <c r="E24" s="3347">
        <v>23</v>
      </c>
      <c r="F24" s="3342" t="s">
        <v>291</v>
      </c>
      <c r="G24" s="3342" t="s">
        <v>642</v>
      </c>
      <c r="H24" s="1564" t="s">
        <v>30</v>
      </c>
      <c r="I24" s="1565">
        <f t="shared" si="13"/>
        <v>129.69999999999999</v>
      </c>
      <c r="J24" s="1938">
        <v>129.69999999999999</v>
      </c>
      <c r="K24" s="2163">
        <v>0</v>
      </c>
      <c r="L24" s="1566"/>
      <c r="M24" s="1937">
        <f t="shared" si="1"/>
        <v>77.2</v>
      </c>
      <c r="N24" s="1938">
        <v>77.2</v>
      </c>
      <c r="O24" s="2163">
        <v>0</v>
      </c>
      <c r="P24" s="1566"/>
      <c r="Q24" s="1565">
        <f t="shared" si="14"/>
        <v>188.80259185283529</v>
      </c>
      <c r="R24" s="2163">
        <v>188.80259185283529</v>
      </c>
      <c r="S24" s="2163">
        <v>0</v>
      </c>
      <c r="T24" s="1566"/>
      <c r="U24" s="1565">
        <f t="shared" si="15"/>
        <v>188.80259185283529</v>
      </c>
      <c r="V24" s="2163">
        <v>188.80259185283529</v>
      </c>
      <c r="W24" s="2163">
        <v>0</v>
      </c>
      <c r="X24" s="1566"/>
      <c r="Z24" s="1570"/>
    </row>
    <row r="25" spans="1:26" s="1562" customFormat="1" ht="19.5" customHeight="1" x14ac:dyDescent="0.2">
      <c r="A25" s="3336"/>
      <c r="B25" s="3338"/>
      <c r="C25" s="3339"/>
      <c r="D25" s="3346"/>
      <c r="E25" s="3341"/>
      <c r="F25" s="3342"/>
      <c r="G25" s="3342"/>
      <c r="H25" s="2170" t="s">
        <v>634</v>
      </c>
      <c r="I25" s="1565"/>
      <c r="J25" s="2163"/>
      <c r="K25" s="2163"/>
      <c r="L25" s="1566"/>
      <c r="M25" s="1937">
        <f t="shared" si="1"/>
        <v>180</v>
      </c>
      <c r="N25" s="1938">
        <v>180</v>
      </c>
      <c r="O25" s="2163"/>
      <c r="P25" s="1566"/>
      <c r="Q25" s="1565"/>
      <c r="R25" s="2163"/>
      <c r="S25" s="2163"/>
      <c r="T25" s="1566"/>
      <c r="U25" s="1565"/>
      <c r="V25" s="2163"/>
      <c r="W25" s="2163"/>
      <c r="X25" s="1566"/>
    </row>
    <row r="26" spans="1:26" s="1562" customFormat="1" ht="19.5" customHeight="1" thickBot="1" x14ac:dyDescent="0.25">
      <c r="A26" s="3336"/>
      <c r="B26" s="3338"/>
      <c r="C26" s="3339"/>
      <c r="D26" s="3346"/>
      <c r="E26" s="3341"/>
      <c r="F26" s="3342"/>
      <c r="G26" s="3342"/>
      <c r="H26" s="1571" t="s">
        <v>99</v>
      </c>
      <c r="I26" s="1572">
        <v>55.3</v>
      </c>
      <c r="J26" s="2145">
        <v>55.3</v>
      </c>
      <c r="K26" s="2145"/>
      <c r="L26" s="1573"/>
      <c r="M26" s="1572"/>
      <c r="N26" s="2145"/>
      <c r="O26" s="2145"/>
      <c r="P26" s="1573"/>
      <c r="Q26" s="1572"/>
      <c r="R26" s="2145"/>
      <c r="S26" s="2145"/>
      <c r="T26" s="1573"/>
      <c r="U26" s="1572"/>
      <c r="V26" s="2145"/>
      <c r="W26" s="2145"/>
      <c r="X26" s="1573"/>
    </row>
    <row r="27" spans="1:26" s="1562" customFormat="1" ht="12.75" customHeight="1" thickBot="1" x14ac:dyDescent="0.25">
      <c r="A27" s="3336"/>
      <c r="B27" s="3338"/>
      <c r="C27" s="3339"/>
      <c r="D27" s="3346"/>
      <c r="E27" s="3341"/>
      <c r="F27" s="3349" t="s">
        <v>35</v>
      </c>
      <c r="G27" s="3350"/>
      <c r="H27" s="3351"/>
      <c r="I27" s="1567">
        <f>J27+L27</f>
        <v>185</v>
      </c>
      <c r="J27" s="1568">
        <f>SUM(J24:J26)</f>
        <v>185</v>
      </c>
      <c r="K27" s="1568">
        <f>SUM(K24:K25)</f>
        <v>0</v>
      </c>
      <c r="L27" s="1569">
        <f>SUM(L24:L25)</f>
        <v>0</v>
      </c>
      <c r="M27" s="1567">
        <f t="shared" ref="M27" si="16">N27+P27</f>
        <v>257.2</v>
      </c>
      <c r="N27" s="1568">
        <f>SUM(N24:N26)</f>
        <v>257.2</v>
      </c>
      <c r="O27" s="1568">
        <f>SUM(O24:O25)</f>
        <v>0</v>
      </c>
      <c r="P27" s="1569">
        <f>SUM(P24:P25)</f>
        <v>0</v>
      </c>
      <c r="Q27" s="1567">
        <f t="shared" ref="Q27:Q28" si="17">R27+T27</f>
        <v>188.80259185283529</v>
      </c>
      <c r="R27" s="1568">
        <f>SUM(R24:R25)</f>
        <v>188.80259185283529</v>
      </c>
      <c r="S27" s="1568">
        <f>SUM(S24:S25)</f>
        <v>0</v>
      </c>
      <c r="T27" s="1569">
        <f>SUM(T24:T25)</f>
        <v>0</v>
      </c>
      <c r="U27" s="1567">
        <f t="shared" ref="U27:U28" si="18">V27+X27</f>
        <v>188.80259185283529</v>
      </c>
      <c r="V27" s="1568">
        <f>SUM(V24:V25)</f>
        <v>188.80259185283529</v>
      </c>
      <c r="W27" s="1568">
        <f>SUM(W24:W25)</f>
        <v>0</v>
      </c>
      <c r="X27" s="1569">
        <f>SUM(X24:X25)</f>
        <v>0</v>
      </c>
    </row>
    <row r="28" spans="1:26" s="1562" customFormat="1" ht="11.25" customHeight="1" x14ac:dyDescent="0.2">
      <c r="A28" s="3336">
        <v>1</v>
      </c>
      <c r="B28" s="3337">
        <v>1</v>
      </c>
      <c r="C28" s="3345">
        <v>6</v>
      </c>
      <c r="D28" s="3304" t="s">
        <v>643</v>
      </c>
      <c r="E28" s="3347">
        <v>24</v>
      </c>
      <c r="F28" s="3342" t="s">
        <v>291</v>
      </c>
      <c r="G28" s="3342" t="s">
        <v>644</v>
      </c>
      <c r="H28" s="2151" t="s">
        <v>30</v>
      </c>
      <c r="I28" s="1565">
        <f t="shared" ref="I28" si="19">J28+L28</f>
        <v>23.9</v>
      </c>
      <c r="J28" s="2163">
        <f>19+4.9</f>
        <v>23.9</v>
      </c>
      <c r="K28" s="2163">
        <v>0</v>
      </c>
      <c r="L28" s="1566">
        <v>0</v>
      </c>
      <c r="M28" s="1937">
        <f>N28+P28</f>
        <v>8.9</v>
      </c>
      <c r="N28" s="1938">
        <v>8.9</v>
      </c>
      <c r="O28" s="2163">
        <v>0</v>
      </c>
      <c r="P28" s="1566">
        <v>0</v>
      </c>
      <c r="Q28" s="1565">
        <f t="shared" si="17"/>
        <v>30.869706505299547</v>
      </c>
      <c r="R28" s="2163">
        <v>30.869706505299547</v>
      </c>
      <c r="S28" s="2163">
        <v>0</v>
      </c>
      <c r="T28" s="1566">
        <v>0</v>
      </c>
      <c r="U28" s="1565">
        <f t="shared" si="18"/>
        <v>30.869706505299547</v>
      </c>
      <c r="V28" s="2163">
        <v>30.869706505299547</v>
      </c>
      <c r="W28" s="2163">
        <v>0</v>
      </c>
      <c r="X28" s="1566">
        <v>0</v>
      </c>
    </row>
    <row r="29" spans="1:26" s="1562" customFormat="1" ht="11.25" customHeight="1" thickBot="1" x14ac:dyDescent="0.25">
      <c r="A29" s="3336"/>
      <c r="B29" s="3338"/>
      <c r="C29" s="3339"/>
      <c r="D29" s="3346"/>
      <c r="E29" s="3341"/>
      <c r="F29" s="3342"/>
      <c r="G29" s="3342"/>
      <c r="H29" s="2170" t="s">
        <v>634</v>
      </c>
      <c r="I29" s="1565"/>
      <c r="J29" s="2163"/>
      <c r="K29" s="2163"/>
      <c r="L29" s="1566"/>
      <c r="M29" s="1937">
        <f>N29+P29</f>
        <v>22</v>
      </c>
      <c r="N29" s="1938">
        <v>22</v>
      </c>
      <c r="O29" s="2163"/>
      <c r="P29" s="1566"/>
      <c r="Q29" s="1565"/>
      <c r="R29" s="2163"/>
      <c r="S29" s="2163"/>
      <c r="T29" s="1566"/>
      <c r="U29" s="1565"/>
      <c r="V29" s="2163"/>
      <c r="W29" s="2163"/>
      <c r="X29" s="1566"/>
    </row>
    <row r="30" spans="1:26" s="1562" customFormat="1" ht="12.75" customHeight="1" thickBot="1" x14ac:dyDescent="0.25">
      <c r="A30" s="3336"/>
      <c r="B30" s="3338"/>
      <c r="C30" s="3339"/>
      <c r="D30" s="3346"/>
      <c r="E30" s="3341"/>
      <c r="F30" s="3343" t="s">
        <v>35</v>
      </c>
      <c r="G30" s="3344"/>
      <c r="H30" s="3344"/>
      <c r="I30" s="1567">
        <f t="shared" ref="I30:I31" si="20">J30+L30</f>
        <v>23.9</v>
      </c>
      <c r="J30" s="1568">
        <f>SUM(J28:J29)</f>
        <v>23.9</v>
      </c>
      <c r="K30" s="1568">
        <f>SUM(K28:K29)</f>
        <v>0</v>
      </c>
      <c r="L30" s="1569">
        <f>SUM(L28:L29)</f>
        <v>0</v>
      </c>
      <c r="M30" s="1567">
        <f t="shared" ref="M30:M51" si="21">N30+P30</f>
        <v>30.9</v>
      </c>
      <c r="N30" s="1568">
        <f>SUM(N28:N29)</f>
        <v>30.9</v>
      </c>
      <c r="O30" s="1568">
        <f>SUM(O28:O29)</f>
        <v>0</v>
      </c>
      <c r="P30" s="1569">
        <f>SUM(P28:P29)</f>
        <v>0</v>
      </c>
      <c r="Q30" s="1567">
        <f t="shared" ref="Q30:Q31" si="22">R30+T30</f>
        <v>30.869706505299547</v>
      </c>
      <c r="R30" s="1568">
        <f>SUM(R28:R29)</f>
        <v>30.869706505299547</v>
      </c>
      <c r="S30" s="1568">
        <f>SUM(S28:S29)</f>
        <v>0</v>
      </c>
      <c r="T30" s="1569">
        <f>SUM(T28:T29)</f>
        <v>0</v>
      </c>
      <c r="U30" s="1567">
        <f t="shared" ref="U30:U31" si="23">V30+X30</f>
        <v>30.869706505299547</v>
      </c>
      <c r="V30" s="1568">
        <f>SUM(V28:V29)</f>
        <v>30.869706505299547</v>
      </c>
      <c r="W30" s="1568">
        <f>SUM(W28:W29)</f>
        <v>0</v>
      </c>
      <c r="X30" s="1569">
        <f>SUM(X28:X29)</f>
        <v>0</v>
      </c>
    </row>
    <row r="31" spans="1:26" s="1562" customFormat="1" ht="12.75" x14ac:dyDescent="0.2">
      <c r="A31" s="3336">
        <v>1</v>
      </c>
      <c r="B31" s="3337">
        <v>1</v>
      </c>
      <c r="C31" s="3345">
        <v>7</v>
      </c>
      <c r="D31" s="3304" t="s">
        <v>645</v>
      </c>
      <c r="E31" s="3347">
        <v>25</v>
      </c>
      <c r="F31" s="3348" t="s">
        <v>291</v>
      </c>
      <c r="G31" s="3348" t="s">
        <v>646</v>
      </c>
      <c r="H31" s="2150" t="s">
        <v>30</v>
      </c>
      <c r="I31" s="1565">
        <f t="shared" si="20"/>
        <v>97.5</v>
      </c>
      <c r="J31" s="1938">
        <v>97.5</v>
      </c>
      <c r="K31" s="2163">
        <v>0</v>
      </c>
      <c r="L31" s="1566">
        <v>0</v>
      </c>
      <c r="M31" s="1937">
        <f t="shared" si="21"/>
        <v>42.8</v>
      </c>
      <c r="N31" s="1938">
        <v>42.8</v>
      </c>
      <c r="O31" s="2163">
        <v>0</v>
      </c>
      <c r="P31" s="1566">
        <v>0</v>
      </c>
      <c r="Q31" s="1565">
        <f t="shared" si="22"/>
        <v>138.38873083956548</v>
      </c>
      <c r="R31" s="2163">
        <v>138.38873083956548</v>
      </c>
      <c r="S31" s="2163">
        <v>0</v>
      </c>
      <c r="T31" s="1566">
        <v>0</v>
      </c>
      <c r="U31" s="1565">
        <f t="shared" si="23"/>
        <v>138.38873083956548</v>
      </c>
      <c r="V31" s="2163">
        <v>138.38873083956548</v>
      </c>
      <c r="W31" s="2163">
        <v>0</v>
      </c>
      <c r="X31" s="1566">
        <v>0</v>
      </c>
    </row>
    <row r="32" spans="1:26" s="1562" customFormat="1" ht="12.75" customHeight="1" thickBot="1" x14ac:dyDescent="0.25">
      <c r="A32" s="3336"/>
      <c r="B32" s="3338"/>
      <c r="C32" s="3339"/>
      <c r="D32" s="3346"/>
      <c r="E32" s="3341"/>
      <c r="F32" s="3342"/>
      <c r="G32" s="3342"/>
      <c r="H32" s="2170" t="s">
        <v>634</v>
      </c>
      <c r="I32" s="1565"/>
      <c r="J32" s="2163"/>
      <c r="K32" s="2163"/>
      <c r="L32" s="1566"/>
      <c r="M32" s="1937">
        <f t="shared" si="21"/>
        <v>104.1</v>
      </c>
      <c r="N32" s="1938">
        <v>104.1</v>
      </c>
      <c r="O32" s="2163"/>
      <c r="P32" s="1566"/>
      <c r="Q32" s="1565"/>
      <c r="R32" s="2163"/>
      <c r="S32" s="2163"/>
      <c r="T32" s="1566"/>
      <c r="U32" s="1565"/>
      <c r="V32" s="2163"/>
      <c r="W32" s="2163"/>
      <c r="X32" s="1566"/>
    </row>
    <row r="33" spans="1:24" s="1562" customFormat="1" ht="12.75" customHeight="1" thickBot="1" x14ac:dyDescent="0.25">
      <c r="A33" s="3336"/>
      <c r="B33" s="3338"/>
      <c r="C33" s="3339"/>
      <c r="D33" s="3346"/>
      <c r="E33" s="3341"/>
      <c r="F33" s="3343" t="s">
        <v>35</v>
      </c>
      <c r="G33" s="3344"/>
      <c r="H33" s="3344"/>
      <c r="I33" s="1567">
        <f t="shared" ref="I33:I34" si="24">J33+L33</f>
        <v>97.5</v>
      </c>
      <c r="J33" s="1568">
        <f>SUM(J31:J32)</f>
        <v>97.5</v>
      </c>
      <c r="K33" s="1568">
        <f>SUM(K31:K32)</f>
        <v>0</v>
      </c>
      <c r="L33" s="1569">
        <f>SUM(L31:L32)</f>
        <v>0</v>
      </c>
      <c r="M33" s="1567">
        <f t="shared" si="21"/>
        <v>146.89999999999998</v>
      </c>
      <c r="N33" s="1568">
        <f>SUM(N31:N32)</f>
        <v>146.89999999999998</v>
      </c>
      <c r="O33" s="1568">
        <f>SUM(O31:O32)</f>
        <v>0</v>
      </c>
      <c r="P33" s="1569">
        <f>SUM(P31:P32)</f>
        <v>0</v>
      </c>
      <c r="Q33" s="1567">
        <f t="shared" ref="Q33:Q34" si="25">R33+T33</f>
        <v>138.38873083956548</v>
      </c>
      <c r="R33" s="1568">
        <f>SUM(R31:R32)</f>
        <v>138.38873083956548</v>
      </c>
      <c r="S33" s="1568">
        <f>SUM(S31:S32)</f>
        <v>0</v>
      </c>
      <c r="T33" s="1569">
        <f>SUM(T31:T32)</f>
        <v>0</v>
      </c>
      <c r="U33" s="1567">
        <f t="shared" ref="U33:U34" si="26">V33+X33</f>
        <v>138.38873083956548</v>
      </c>
      <c r="V33" s="1568">
        <f>SUM(V31:V32)</f>
        <v>138.38873083956548</v>
      </c>
      <c r="W33" s="1568">
        <f>SUM(W31:W32)</f>
        <v>0</v>
      </c>
      <c r="X33" s="1569">
        <f>SUM(X31:X32)</f>
        <v>0</v>
      </c>
    </row>
    <row r="34" spans="1:24" s="1562" customFormat="1" ht="12.75" x14ac:dyDescent="0.2">
      <c r="A34" s="3336">
        <v>1</v>
      </c>
      <c r="B34" s="3337">
        <v>1</v>
      </c>
      <c r="C34" s="3345">
        <v>8</v>
      </c>
      <c r="D34" s="3304" t="s">
        <v>647</v>
      </c>
      <c r="E34" s="3347">
        <v>26</v>
      </c>
      <c r="F34" s="3348" t="s">
        <v>291</v>
      </c>
      <c r="G34" s="3348" t="s">
        <v>648</v>
      </c>
      <c r="H34" s="2150" t="s">
        <v>30</v>
      </c>
      <c r="I34" s="1565">
        <f t="shared" si="24"/>
        <v>137.1</v>
      </c>
      <c r="J34" s="2163">
        <f>109+28.1</f>
        <v>137.1</v>
      </c>
      <c r="K34" s="2163">
        <v>0</v>
      </c>
      <c r="L34" s="1566">
        <v>0</v>
      </c>
      <c r="M34" s="1937">
        <f t="shared" si="21"/>
        <v>53.6</v>
      </c>
      <c r="N34" s="1938">
        <v>53.6</v>
      </c>
      <c r="O34" s="2163">
        <v>0</v>
      </c>
      <c r="P34" s="1566">
        <v>0</v>
      </c>
      <c r="Q34" s="1565">
        <f t="shared" si="25"/>
        <v>179.6193079219704</v>
      </c>
      <c r="R34" s="2163">
        <v>179.6193079219704</v>
      </c>
      <c r="S34" s="2163">
        <v>0</v>
      </c>
      <c r="T34" s="1566">
        <v>0</v>
      </c>
      <c r="U34" s="1565">
        <f t="shared" si="26"/>
        <v>179.6193079219704</v>
      </c>
      <c r="V34" s="2163">
        <v>179.6193079219704</v>
      </c>
      <c r="W34" s="2163">
        <v>0</v>
      </c>
      <c r="X34" s="1566">
        <v>0</v>
      </c>
    </row>
    <row r="35" spans="1:24" s="1562" customFormat="1" ht="12.75" customHeight="1" thickBot="1" x14ac:dyDescent="0.25">
      <c r="A35" s="3336"/>
      <c r="B35" s="3338"/>
      <c r="C35" s="3339"/>
      <c r="D35" s="3346"/>
      <c r="E35" s="3341"/>
      <c r="F35" s="3342"/>
      <c r="G35" s="3342"/>
      <c r="H35" s="2170" t="s">
        <v>634</v>
      </c>
      <c r="I35" s="1565"/>
      <c r="J35" s="2163"/>
      <c r="K35" s="2163"/>
      <c r="L35" s="1566"/>
      <c r="M35" s="1937">
        <f t="shared" si="21"/>
        <v>140.1</v>
      </c>
      <c r="N35" s="1938">
        <v>140.1</v>
      </c>
      <c r="O35" s="2163"/>
      <c r="P35" s="1566"/>
      <c r="Q35" s="1565"/>
      <c r="R35" s="2163"/>
      <c r="S35" s="2163"/>
      <c r="T35" s="1566"/>
      <c r="U35" s="1565"/>
      <c r="V35" s="2163"/>
      <c r="W35" s="2163"/>
      <c r="X35" s="1566"/>
    </row>
    <row r="36" spans="1:24" s="1562" customFormat="1" ht="12.75" customHeight="1" thickBot="1" x14ac:dyDescent="0.25">
      <c r="A36" s="3336"/>
      <c r="B36" s="3338"/>
      <c r="C36" s="3339"/>
      <c r="D36" s="3346"/>
      <c r="E36" s="3341"/>
      <c r="F36" s="3343" t="s">
        <v>35</v>
      </c>
      <c r="G36" s="3344"/>
      <c r="H36" s="3344"/>
      <c r="I36" s="1567">
        <f t="shared" ref="I36:I37" si="27">J36+L36</f>
        <v>137.1</v>
      </c>
      <c r="J36" s="1568">
        <f>SUM(J34:J35)</f>
        <v>137.1</v>
      </c>
      <c r="K36" s="1568">
        <f>SUM(K34:K35)</f>
        <v>0</v>
      </c>
      <c r="L36" s="1569">
        <f>SUM(L34:L35)</f>
        <v>0</v>
      </c>
      <c r="M36" s="1567">
        <f t="shared" si="21"/>
        <v>193.7</v>
      </c>
      <c r="N36" s="1568">
        <f>SUM(N34:N35)</f>
        <v>193.7</v>
      </c>
      <c r="O36" s="1568">
        <f>SUM(O34:O35)</f>
        <v>0</v>
      </c>
      <c r="P36" s="1569">
        <f>SUM(P34:P35)</f>
        <v>0</v>
      </c>
      <c r="Q36" s="1567">
        <f t="shared" ref="Q36:Q37" si="28">R36+T36</f>
        <v>179.6193079219704</v>
      </c>
      <c r="R36" s="1568">
        <f>SUM(R34:R35)</f>
        <v>179.6193079219704</v>
      </c>
      <c r="S36" s="1568">
        <f>SUM(S34:S35)</f>
        <v>0</v>
      </c>
      <c r="T36" s="1569">
        <f>SUM(T34:T35)</f>
        <v>0</v>
      </c>
      <c r="U36" s="1567">
        <f t="shared" ref="U36:U37" si="29">V36+X36</f>
        <v>179.6193079219704</v>
      </c>
      <c r="V36" s="1568">
        <f>SUM(V34:V35)</f>
        <v>179.6193079219704</v>
      </c>
      <c r="W36" s="1568">
        <f>SUM(W34:W35)</f>
        <v>0</v>
      </c>
      <c r="X36" s="1569">
        <f>SUM(X34:X35)</f>
        <v>0</v>
      </c>
    </row>
    <row r="37" spans="1:24" s="1562" customFormat="1" ht="12.75" x14ac:dyDescent="0.2">
      <c r="A37" s="3336">
        <v>1</v>
      </c>
      <c r="B37" s="3337">
        <v>1</v>
      </c>
      <c r="C37" s="3345">
        <v>9</v>
      </c>
      <c r="D37" s="3304" t="s">
        <v>649</v>
      </c>
      <c r="E37" s="3347">
        <v>27</v>
      </c>
      <c r="F37" s="3348" t="s">
        <v>291</v>
      </c>
      <c r="G37" s="3348" t="s">
        <v>650</v>
      </c>
      <c r="H37" s="2150" t="s">
        <v>30</v>
      </c>
      <c r="I37" s="1565">
        <f t="shared" si="27"/>
        <v>124.3</v>
      </c>
      <c r="J37" s="2163">
        <f>97+27.3</f>
        <v>124.3</v>
      </c>
      <c r="K37" s="2163">
        <v>0</v>
      </c>
      <c r="L37" s="1566"/>
      <c r="M37" s="1937">
        <f t="shared" si="21"/>
        <v>57.1</v>
      </c>
      <c r="N37" s="1938">
        <v>57.1</v>
      </c>
      <c r="O37" s="2163">
        <v>0</v>
      </c>
      <c r="P37" s="1566"/>
      <c r="Q37" s="1565">
        <f t="shared" si="28"/>
        <v>190.11102381552783</v>
      </c>
      <c r="R37" s="2163">
        <v>190.11102381552783</v>
      </c>
      <c r="S37" s="2163">
        <v>0</v>
      </c>
      <c r="T37" s="1566"/>
      <c r="U37" s="1565">
        <f t="shared" si="29"/>
        <v>190.11102381552783</v>
      </c>
      <c r="V37" s="2163">
        <v>190.11102381552783</v>
      </c>
      <c r="W37" s="2163">
        <v>0</v>
      </c>
      <c r="X37" s="1566"/>
    </row>
    <row r="38" spans="1:24" s="1562" customFormat="1" ht="12.75" customHeight="1" thickBot="1" x14ac:dyDescent="0.25">
      <c r="A38" s="3336"/>
      <c r="B38" s="3338"/>
      <c r="C38" s="3339"/>
      <c r="D38" s="3346"/>
      <c r="E38" s="3341"/>
      <c r="F38" s="3342"/>
      <c r="G38" s="3342"/>
      <c r="H38" s="2170" t="s">
        <v>634</v>
      </c>
      <c r="I38" s="1565"/>
      <c r="J38" s="2163"/>
      <c r="K38" s="2163"/>
      <c r="L38" s="1566"/>
      <c r="M38" s="1937">
        <f t="shared" si="21"/>
        <v>133</v>
      </c>
      <c r="N38" s="1938">
        <v>133</v>
      </c>
      <c r="O38" s="2163"/>
      <c r="P38" s="1566"/>
      <c r="Q38" s="1565"/>
      <c r="R38" s="2163"/>
      <c r="S38" s="2163"/>
      <c r="T38" s="1566"/>
      <c r="U38" s="1565"/>
      <c r="V38" s="2163"/>
      <c r="W38" s="2163"/>
      <c r="X38" s="1566"/>
    </row>
    <row r="39" spans="1:24" s="1562" customFormat="1" ht="12.75" customHeight="1" thickBot="1" x14ac:dyDescent="0.25">
      <c r="A39" s="3336"/>
      <c r="B39" s="3338"/>
      <c r="C39" s="3339"/>
      <c r="D39" s="3346"/>
      <c r="E39" s="3341"/>
      <c r="F39" s="3343" t="s">
        <v>35</v>
      </c>
      <c r="G39" s="3344"/>
      <c r="H39" s="3344"/>
      <c r="I39" s="1567">
        <f t="shared" ref="I39:I40" si="30">J39+L39</f>
        <v>124.3</v>
      </c>
      <c r="J39" s="1568">
        <f>SUM(J37:J38)</f>
        <v>124.3</v>
      </c>
      <c r="K39" s="1568">
        <f>SUM(K37:K38)</f>
        <v>0</v>
      </c>
      <c r="L39" s="1569">
        <f>SUM(L37:L38)</f>
        <v>0</v>
      </c>
      <c r="M39" s="1567">
        <f t="shared" si="21"/>
        <v>190.1</v>
      </c>
      <c r="N39" s="1568">
        <f>SUM(N37:N38)</f>
        <v>190.1</v>
      </c>
      <c r="O39" s="1568">
        <f>SUM(O37:O38)</f>
        <v>0</v>
      </c>
      <c r="P39" s="1569">
        <f>SUM(P37:P38)</f>
        <v>0</v>
      </c>
      <c r="Q39" s="1567">
        <f t="shared" ref="Q39:Q40" si="31">R39+T39</f>
        <v>190.11102381552783</v>
      </c>
      <c r="R39" s="1568">
        <f>SUM(R37:R38)</f>
        <v>190.11102381552783</v>
      </c>
      <c r="S39" s="1568">
        <f>SUM(S37:S38)</f>
        <v>0</v>
      </c>
      <c r="T39" s="1569">
        <f>SUM(T37:T38)</f>
        <v>0</v>
      </c>
      <c r="U39" s="1567">
        <f t="shared" ref="U39:U40" si="32">V39+X39</f>
        <v>190.11102381552783</v>
      </c>
      <c r="V39" s="1568">
        <f>SUM(V37:V38)</f>
        <v>190.11102381552783</v>
      </c>
      <c r="W39" s="1568">
        <f>SUM(W37:W38)</f>
        <v>0</v>
      </c>
      <c r="X39" s="1569">
        <f>SUM(X37:X38)</f>
        <v>0</v>
      </c>
    </row>
    <row r="40" spans="1:24" s="1562" customFormat="1" ht="12.75" x14ac:dyDescent="0.2">
      <c r="A40" s="3336">
        <v>1</v>
      </c>
      <c r="B40" s="3337">
        <v>1</v>
      </c>
      <c r="C40" s="3345">
        <v>10</v>
      </c>
      <c r="D40" s="3304" t="s">
        <v>651</v>
      </c>
      <c r="E40" s="3347">
        <v>28</v>
      </c>
      <c r="F40" s="3348" t="s">
        <v>291</v>
      </c>
      <c r="G40" s="3348" t="s">
        <v>652</v>
      </c>
      <c r="H40" s="2150" t="s">
        <v>30</v>
      </c>
      <c r="I40" s="1565">
        <f t="shared" si="30"/>
        <v>74.099999999999994</v>
      </c>
      <c r="J40" s="2163">
        <f>58+16.1</f>
        <v>74.099999999999994</v>
      </c>
      <c r="K40" s="2163">
        <v>0</v>
      </c>
      <c r="L40" s="1566">
        <v>0</v>
      </c>
      <c r="M40" s="1937">
        <f t="shared" si="21"/>
        <v>30.6</v>
      </c>
      <c r="N40" s="1938">
        <v>30.6</v>
      </c>
      <c r="O40" s="2163">
        <v>0</v>
      </c>
      <c r="P40" s="1566">
        <v>0</v>
      </c>
      <c r="Q40" s="1565">
        <f t="shared" si="31"/>
        <v>101.5516602202066</v>
      </c>
      <c r="R40" s="2163">
        <v>101.5516602202066</v>
      </c>
      <c r="S40" s="2163">
        <v>0</v>
      </c>
      <c r="T40" s="1566">
        <v>0</v>
      </c>
      <c r="U40" s="1565">
        <f t="shared" si="32"/>
        <v>101.5516602202066</v>
      </c>
      <c r="V40" s="2163">
        <v>101.5516602202066</v>
      </c>
      <c r="W40" s="2163">
        <v>0</v>
      </c>
      <c r="X40" s="1566">
        <v>0</v>
      </c>
    </row>
    <row r="41" spans="1:24" s="1562" customFormat="1" ht="13.5" customHeight="1" thickBot="1" x14ac:dyDescent="0.25">
      <c r="A41" s="3336"/>
      <c r="B41" s="3338"/>
      <c r="C41" s="3339"/>
      <c r="D41" s="3346"/>
      <c r="E41" s="3341"/>
      <c r="F41" s="3342"/>
      <c r="G41" s="3342"/>
      <c r="H41" s="2170" t="s">
        <v>634</v>
      </c>
      <c r="I41" s="1565"/>
      <c r="J41" s="2163"/>
      <c r="K41" s="2163"/>
      <c r="L41" s="1566"/>
      <c r="M41" s="1937">
        <f t="shared" si="21"/>
        <v>81.2</v>
      </c>
      <c r="N41" s="1938">
        <v>81.2</v>
      </c>
      <c r="O41" s="2163"/>
      <c r="P41" s="1566"/>
      <c r="Q41" s="1565"/>
      <c r="R41" s="2163"/>
      <c r="S41" s="2163"/>
      <c r="T41" s="1566"/>
      <c r="U41" s="1565"/>
      <c r="V41" s="2163"/>
      <c r="W41" s="2163"/>
      <c r="X41" s="1566"/>
    </row>
    <row r="42" spans="1:24" s="1562" customFormat="1" ht="13.5" customHeight="1" thickBot="1" x14ac:dyDescent="0.25">
      <c r="A42" s="3336"/>
      <c r="B42" s="3338"/>
      <c r="C42" s="3339"/>
      <c r="D42" s="3346"/>
      <c r="E42" s="3341"/>
      <c r="F42" s="3343" t="s">
        <v>35</v>
      </c>
      <c r="G42" s="3344"/>
      <c r="H42" s="3344"/>
      <c r="I42" s="1567">
        <f t="shared" ref="I42:I43" si="33">J42+L42</f>
        <v>74.099999999999994</v>
      </c>
      <c r="J42" s="1568">
        <f>SUM(J40:J41)</f>
        <v>74.099999999999994</v>
      </c>
      <c r="K42" s="1568">
        <f>SUM(K40:K41)</f>
        <v>0</v>
      </c>
      <c r="L42" s="1569">
        <f>SUM(L40:L41)</f>
        <v>0</v>
      </c>
      <c r="M42" s="1567">
        <f t="shared" si="21"/>
        <v>111.80000000000001</v>
      </c>
      <c r="N42" s="1568">
        <f>SUM(N40:N41)</f>
        <v>111.80000000000001</v>
      </c>
      <c r="O42" s="1568">
        <f>SUM(O40:O41)</f>
        <v>0</v>
      </c>
      <c r="P42" s="1569">
        <f>SUM(P40:P41)</f>
        <v>0</v>
      </c>
      <c r="Q42" s="1567">
        <f t="shared" ref="Q42:Q43" si="34">R42+T42</f>
        <v>101.5516602202066</v>
      </c>
      <c r="R42" s="1568">
        <f>SUM(R40:R41)</f>
        <v>101.5516602202066</v>
      </c>
      <c r="S42" s="1568">
        <f>SUM(S40:S41)</f>
        <v>0</v>
      </c>
      <c r="T42" s="1569">
        <f>SUM(T40:T41)</f>
        <v>0</v>
      </c>
      <c r="U42" s="1567">
        <f t="shared" ref="U42:U43" si="35">V42+X42</f>
        <v>101.5516602202066</v>
      </c>
      <c r="V42" s="1568">
        <f>SUM(V40:V41)</f>
        <v>101.5516602202066</v>
      </c>
      <c r="W42" s="1568">
        <f>SUM(W40:W41)</f>
        <v>0</v>
      </c>
      <c r="X42" s="1569">
        <f>SUM(X40:X41)</f>
        <v>0</v>
      </c>
    </row>
    <row r="43" spans="1:24" s="1562" customFormat="1" ht="12.75" x14ac:dyDescent="0.2">
      <c r="A43" s="3336">
        <v>1</v>
      </c>
      <c r="B43" s="3337">
        <v>1</v>
      </c>
      <c r="C43" s="3345">
        <v>11</v>
      </c>
      <c r="D43" s="3304" t="s">
        <v>653</v>
      </c>
      <c r="E43" s="3347">
        <v>29</v>
      </c>
      <c r="F43" s="3348" t="s">
        <v>291</v>
      </c>
      <c r="G43" s="3348" t="s">
        <v>654</v>
      </c>
      <c r="H43" s="2150" t="s">
        <v>30</v>
      </c>
      <c r="I43" s="1565">
        <f t="shared" si="33"/>
        <v>94.3</v>
      </c>
      <c r="J43" s="1938">
        <v>94.3</v>
      </c>
      <c r="K43" s="2163">
        <v>0</v>
      </c>
      <c r="L43" s="1566">
        <v>0</v>
      </c>
      <c r="M43" s="1565">
        <f t="shared" si="21"/>
        <v>40</v>
      </c>
      <c r="N43" s="1938">
        <v>40</v>
      </c>
      <c r="O43" s="2163">
        <v>0</v>
      </c>
      <c r="P43" s="1566">
        <v>0</v>
      </c>
      <c r="Q43" s="1565">
        <f t="shared" si="34"/>
        <v>133.95443382571486</v>
      </c>
      <c r="R43" s="2163">
        <v>133.95443382571486</v>
      </c>
      <c r="S43" s="2163">
        <v>0</v>
      </c>
      <c r="T43" s="1566">
        <v>0</v>
      </c>
      <c r="U43" s="1565">
        <f t="shared" si="35"/>
        <v>133.95443382571486</v>
      </c>
      <c r="V43" s="2163">
        <v>133.95443382571486</v>
      </c>
      <c r="W43" s="2163">
        <v>0</v>
      </c>
      <c r="X43" s="1566">
        <v>0</v>
      </c>
    </row>
    <row r="44" spans="1:24" s="1562" customFormat="1" ht="12.75" customHeight="1" thickBot="1" x14ac:dyDescent="0.25">
      <c r="A44" s="3336"/>
      <c r="B44" s="3338"/>
      <c r="C44" s="3339"/>
      <c r="D44" s="3346"/>
      <c r="E44" s="3341"/>
      <c r="F44" s="3342"/>
      <c r="G44" s="3342"/>
      <c r="H44" s="2170" t="s">
        <v>634</v>
      </c>
      <c r="I44" s="1565"/>
      <c r="J44" s="2163"/>
      <c r="K44" s="2163"/>
      <c r="L44" s="1566"/>
      <c r="M44" s="1565">
        <f t="shared" si="21"/>
        <v>97.3</v>
      </c>
      <c r="N44" s="1938">
        <v>97.3</v>
      </c>
      <c r="O44" s="2163"/>
      <c r="P44" s="1566"/>
      <c r="Q44" s="1565"/>
      <c r="R44" s="2163"/>
      <c r="S44" s="2163"/>
      <c r="T44" s="1566"/>
      <c r="U44" s="1565"/>
      <c r="V44" s="2163"/>
      <c r="W44" s="2163"/>
      <c r="X44" s="1566"/>
    </row>
    <row r="45" spans="1:24" s="1562" customFormat="1" ht="13.5" customHeight="1" thickBot="1" x14ac:dyDescent="0.25">
      <c r="A45" s="3336"/>
      <c r="B45" s="3338"/>
      <c r="C45" s="3339"/>
      <c r="D45" s="3346"/>
      <c r="E45" s="3341"/>
      <c r="F45" s="3343" t="s">
        <v>35</v>
      </c>
      <c r="G45" s="3344"/>
      <c r="H45" s="3344"/>
      <c r="I45" s="1567">
        <f t="shared" ref="I45:I46" si="36">J45+L45</f>
        <v>94.3</v>
      </c>
      <c r="J45" s="1568">
        <f>SUM(J43:J44)</f>
        <v>94.3</v>
      </c>
      <c r="K45" s="1568">
        <f>SUM(K43:K44)</f>
        <v>0</v>
      </c>
      <c r="L45" s="1569">
        <f>SUM(L43:L44)</f>
        <v>0</v>
      </c>
      <c r="M45" s="1567">
        <f t="shared" si="21"/>
        <v>137.30000000000001</v>
      </c>
      <c r="N45" s="1568">
        <f>SUM(N43:N44)</f>
        <v>137.30000000000001</v>
      </c>
      <c r="O45" s="1568">
        <f>SUM(O43:O44)</f>
        <v>0</v>
      </c>
      <c r="P45" s="1569">
        <f>SUM(P43:P44)</f>
        <v>0</v>
      </c>
      <c r="Q45" s="1567">
        <f t="shared" ref="Q45:Q50" si="37">R45+T45</f>
        <v>133.95443382571486</v>
      </c>
      <c r="R45" s="1568">
        <f>SUM(R43:R44)</f>
        <v>133.95443382571486</v>
      </c>
      <c r="S45" s="1568">
        <f>SUM(S43:S44)</f>
        <v>0</v>
      </c>
      <c r="T45" s="1569">
        <f>SUM(T43:T44)</f>
        <v>0</v>
      </c>
      <c r="U45" s="1567">
        <f t="shared" ref="U45:U50" si="38">V45+X45</f>
        <v>133.95443382571486</v>
      </c>
      <c r="V45" s="1568">
        <f>SUM(V43:V44)</f>
        <v>133.95443382571486</v>
      </c>
      <c r="W45" s="1568">
        <f>SUM(W43:W44)</f>
        <v>0</v>
      </c>
      <c r="X45" s="1569">
        <f>SUM(X43:X44)</f>
        <v>0</v>
      </c>
    </row>
    <row r="46" spans="1:24" s="1562" customFormat="1" ht="27.75" customHeight="1" thickBot="1" x14ac:dyDescent="0.25">
      <c r="A46" s="3336">
        <v>1</v>
      </c>
      <c r="B46" s="3337">
        <v>1</v>
      </c>
      <c r="C46" s="3345">
        <v>12</v>
      </c>
      <c r="D46" s="3304" t="s">
        <v>655</v>
      </c>
      <c r="E46" s="3347">
        <v>9</v>
      </c>
      <c r="F46" s="2144" t="s">
        <v>291</v>
      </c>
      <c r="G46" s="2144" t="s">
        <v>656</v>
      </c>
      <c r="H46" s="2150" t="s">
        <v>30</v>
      </c>
      <c r="I46" s="1565">
        <f t="shared" si="36"/>
        <v>0</v>
      </c>
      <c r="J46" s="1938"/>
      <c r="K46" s="2163">
        <v>0</v>
      </c>
      <c r="L46" s="1566">
        <v>0</v>
      </c>
      <c r="M46" s="1565">
        <f t="shared" si="21"/>
        <v>30</v>
      </c>
      <c r="N46" s="2163">
        <v>30</v>
      </c>
      <c r="O46" s="2163">
        <v>0</v>
      </c>
      <c r="P46" s="1566">
        <v>0</v>
      </c>
      <c r="Q46" s="1565">
        <f t="shared" si="37"/>
        <v>30</v>
      </c>
      <c r="R46" s="2163">
        <v>30</v>
      </c>
      <c r="S46" s="2163">
        <v>0</v>
      </c>
      <c r="T46" s="1566">
        <v>0</v>
      </c>
      <c r="U46" s="1565">
        <f t="shared" si="38"/>
        <v>30</v>
      </c>
      <c r="V46" s="2163">
        <v>30</v>
      </c>
      <c r="W46" s="2163">
        <v>0</v>
      </c>
      <c r="X46" s="1566">
        <v>0</v>
      </c>
    </row>
    <row r="47" spans="1:24" s="1562" customFormat="1" ht="27.75" customHeight="1" thickBot="1" x14ac:dyDescent="0.25">
      <c r="A47" s="3336"/>
      <c r="B47" s="3338"/>
      <c r="C47" s="3339"/>
      <c r="D47" s="3346"/>
      <c r="E47" s="3341"/>
      <c r="F47" s="3343" t="s">
        <v>35</v>
      </c>
      <c r="G47" s="3344"/>
      <c r="H47" s="3344"/>
      <c r="I47" s="1567">
        <f>J47+L47</f>
        <v>0</v>
      </c>
      <c r="J47" s="1568">
        <f>SUM(J46)</f>
        <v>0</v>
      </c>
      <c r="K47" s="1568">
        <f>SUM(K46)</f>
        <v>0</v>
      </c>
      <c r="L47" s="1569">
        <f>SUM(L46)</f>
        <v>0</v>
      </c>
      <c r="M47" s="1567">
        <f t="shared" si="21"/>
        <v>30</v>
      </c>
      <c r="N47" s="1568">
        <f>SUM(N46)</f>
        <v>30</v>
      </c>
      <c r="O47" s="1568">
        <f>SUM(O46)</f>
        <v>0</v>
      </c>
      <c r="P47" s="1569">
        <f>SUM(P46)</f>
        <v>0</v>
      </c>
      <c r="Q47" s="1567">
        <f t="shared" si="37"/>
        <v>30</v>
      </c>
      <c r="R47" s="1568">
        <f>SUM(R46)</f>
        <v>30</v>
      </c>
      <c r="S47" s="1568">
        <f>SUM(S46)</f>
        <v>0</v>
      </c>
      <c r="T47" s="1569">
        <f>SUM(T46)</f>
        <v>0</v>
      </c>
      <c r="U47" s="1567">
        <f t="shared" si="38"/>
        <v>30</v>
      </c>
      <c r="V47" s="1568">
        <f>SUM(V46)</f>
        <v>30</v>
      </c>
      <c r="W47" s="1568">
        <f>SUM(W46)</f>
        <v>0</v>
      </c>
      <c r="X47" s="1569">
        <f>SUM(X46)</f>
        <v>0</v>
      </c>
    </row>
    <row r="48" spans="1:24" s="1559" customFormat="1" ht="21" customHeight="1" thickBot="1" x14ac:dyDescent="0.25">
      <c r="A48" s="3352">
        <v>1</v>
      </c>
      <c r="B48" s="3337">
        <v>1</v>
      </c>
      <c r="C48" s="3345">
        <v>13</v>
      </c>
      <c r="D48" s="3355" t="s">
        <v>657</v>
      </c>
      <c r="E48" s="3347">
        <v>9</v>
      </c>
      <c r="F48" s="1574" t="s">
        <v>291</v>
      </c>
      <c r="G48" s="1574" t="s">
        <v>658</v>
      </c>
      <c r="H48" s="1575" t="s">
        <v>30</v>
      </c>
      <c r="I48" s="1565">
        <f t="shared" ref="I48:I49" si="39">J48+L48</f>
        <v>36.200000000000003</v>
      </c>
      <c r="J48" s="1938">
        <v>36.200000000000003</v>
      </c>
      <c r="K48" s="2163">
        <v>0</v>
      </c>
      <c r="L48" s="1566"/>
      <c r="M48" s="1565">
        <f t="shared" si="21"/>
        <v>50</v>
      </c>
      <c r="N48" s="2163">
        <v>50</v>
      </c>
      <c r="O48" s="2163">
        <v>0</v>
      </c>
      <c r="P48" s="1566"/>
      <c r="Q48" s="1565">
        <f t="shared" si="37"/>
        <v>50</v>
      </c>
      <c r="R48" s="2163">
        <v>50</v>
      </c>
      <c r="S48" s="2163">
        <v>0</v>
      </c>
      <c r="T48" s="1566"/>
      <c r="U48" s="1565">
        <f t="shared" si="38"/>
        <v>50</v>
      </c>
      <c r="V48" s="2163">
        <v>50</v>
      </c>
      <c r="W48" s="2163">
        <v>0</v>
      </c>
      <c r="X48" s="1566"/>
    </row>
    <row r="49" spans="1:24" s="1559" customFormat="1" ht="20.25" customHeight="1" thickBot="1" x14ac:dyDescent="0.25">
      <c r="A49" s="3353"/>
      <c r="B49" s="3354"/>
      <c r="C49" s="3339"/>
      <c r="D49" s="3356"/>
      <c r="E49" s="3341"/>
      <c r="F49" s="3343" t="s">
        <v>35</v>
      </c>
      <c r="G49" s="3344"/>
      <c r="H49" s="3357"/>
      <c r="I49" s="1567">
        <f t="shared" si="39"/>
        <v>36.200000000000003</v>
      </c>
      <c r="J49" s="1568">
        <f>SUM(J48)</f>
        <v>36.200000000000003</v>
      </c>
      <c r="K49" s="1568">
        <f>SUM(K48)</f>
        <v>0</v>
      </c>
      <c r="L49" s="1569">
        <f>SUM(L48)</f>
        <v>0</v>
      </c>
      <c r="M49" s="1567">
        <f t="shared" si="21"/>
        <v>50</v>
      </c>
      <c r="N49" s="1568">
        <f>SUM(N48)</f>
        <v>50</v>
      </c>
      <c r="O49" s="1568">
        <f>SUM(O48)</f>
        <v>0</v>
      </c>
      <c r="P49" s="1569">
        <f>SUM(P48)</f>
        <v>0</v>
      </c>
      <c r="Q49" s="1567">
        <f t="shared" si="37"/>
        <v>50</v>
      </c>
      <c r="R49" s="1568">
        <f>SUM(R48)</f>
        <v>50</v>
      </c>
      <c r="S49" s="1568">
        <f>SUM(S48)</f>
        <v>0</v>
      </c>
      <c r="T49" s="1569">
        <f>SUM(T48)</f>
        <v>0</v>
      </c>
      <c r="U49" s="1567">
        <f t="shared" si="38"/>
        <v>50</v>
      </c>
      <c r="V49" s="1568">
        <f>SUM(V48)</f>
        <v>50</v>
      </c>
      <c r="W49" s="1568">
        <f>SUM(W48)</f>
        <v>0</v>
      </c>
      <c r="X49" s="1569">
        <f>SUM(X48)</f>
        <v>0</v>
      </c>
    </row>
    <row r="50" spans="1:24" s="1562" customFormat="1" ht="13.5" thickBot="1" x14ac:dyDescent="0.25">
      <c r="A50" s="2147">
        <v>1</v>
      </c>
      <c r="B50" s="1576">
        <v>1</v>
      </c>
      <c r="C50" s="3358" t="s">
        <v>659</v>
      </c>
      <c r="D50" s="3359"/>
      <c r="E50" s="3359"/>
      <c r="F50" s="3359"/>
      <c r="G50" s="3359"/>
      <c r="H50" s="3360"/>
      <c r="I50" s="1577">
        <f>J50+L50</f>
        <v>947.4</v>
      </c>
      <c r="J50" s="1578">
        <f>J48+J46+J43+J40+J37+J34+J31+J28+J24+J21+J18+J15+J12</f>
        <v>937.4</v>
      </c>
      <c r="K50" s="1578">
        <f>K48+K46+K43+K40+K37+K34+K31+K28+K24+K21+K18+K15+K12</f>
        <v>0</v>
      </c>
      <c r="L50" s="1578">
        <f>L48+L46+L43+L40+L37+L34+L31+L28+L24+L21+L18+L15+L12</f>
        <v>10</v>
      </c>
      <c r="M50" s="1579">
        <f t="shared" si="21"/>
        <v>483.9</v>
      </c>
      <c r="N50" s="1580">
        <f>N48+N46+N43+N40+N37+N34+N31+N28+N24+N21+N18+N15+N12</f>
        <v>483.9</v>
      </c>
      <c r="O50" s="1578">
        <f>O48+O46+O43+O40+O37+O34+O31+O28+O24+O21+O18+O15+O12</f>
        <v>0</v>
      </c>
      <c r="P50" s="1581">
        <f>P48+P46+P43+P40+P37+P34+P31+P28+P24+P21+P18+P15+P12</f>
        <v>0</v>
      </c>
      <c r="Q50" s="1582">
        <f t="shared" si="37"/>
        <v>1360</v>
      </c>
      <c r="R50" s="1578">
        <f>R48+R46+R43+R40+R37+R34+R31+R28+R24+R21+R18+R15+R12</f>
        <v>1360</v>
      </c>
      <c r="S50" s="1578">
        <f>S48+S46+S43+S40+S37+S34+S31+S28+S24+S21+S18+S15+S12</f>
        <v>0</v>
      </c>
      <c r="T50" s="1581">
        <f>T48+T46+T43+T40+T37+T34+T31+T28+T24+T21+T18+T15+T12</f>
        <v>0</v>
      </c>
      <c r="U50" s="1582">
        <f t="shared" si="38"/>
        <v>1360</v>
      </c>
      <c r="V50" s="1578">
        <f>V48+V46+V43+V40+V37+V34+V31+V28+V24+V21+V18+V15+V12</f>
        <v>1360</v>
      </c>
      <c r="W50" s="1578">
        <f>W48+W46+W43+W40+W37+W34+W31+W28+W24+W21+W18+W15+W12</f>
        <v>0</v>
      </c>
      <c r="X50" s="1581">
        <f>X48+X46+X43+X40+X37+X34+X31+X28+X24+X21+X18+X15+X12</f>
        <v>0</v>
      </c>
    </row>
    <row r="51" spans="1:24" s="1562" customFormat="1" ht="12.75" customHeight="1" thickBot="1" x14ac:dyDescent="0.25">
      <c r="A51" s="1583"/>
      <c r="B51" s="2160"/>
      <c r="C51" s="1584"/>
      <c r="D51" s="1585"/>
      <c r="E51" s="1585"/>
      <c r="F51" s="1585"/>
      <c r="G51" s="3361" t="s">
        <v>660</v>
      </c>
      <c r="H51" s="3362"/>
      <c r="I51" s="1586">
        <f t="shared" ref="I51" si="40">J51+L51</f>
        <v>0</v>
      </c>
      <c r="J51" s="1587">
        <f>J44+J41+J38+J35+J32+J29+J25+J22+J19+J16+J13</f>
        <v>0</v>
      </c>
      <c r="K51" s="1587">
        <f>K44+K41+K38+K35+K32+K29+K25+K22+K19+K16+K13</f>
        <v>0</v>
      </c>
      <c r="L51" s="1587">
        <f>L44+L41+L38+L35+L32+L29+L25+L22+L19+L16+L13</f>
        <v>0</v>
      </c>
      <c r="M51" s="1579">
        <f t="shared" si="21"/>
        <v>1016.0000000000002</v>
      </c>
      <c r="N51" s="1587">
        <f>N44+N41+N38+N35+N32+N29+N25+N22+N19+N16+N13</f>
        <v>1016.0000000000002</v>
      </c>
      <c r="O51" s="1587">
        <f>O44+O41+O38+O35+O32+O29+O25+O22+O19+O16+O13</f>
        <v>0</v>
      </c>
      <c r="P51" s="1587">
        <f>P44+P41+P38+P35+P32+P29+P25+P22+P19+P16+P13</f>
        <v>0</v>
      </c>
      <c r="Q51" s="1586"/>
      <c r="R51" s="1587">
        <f>R44+R41+R38+R35+R32+R29+R25+R22+R19+R16+R13</f>
        <v>0</v>
      </c>
      <c r="S51" s="1587">
        <f>S44+S41+S38+S35+S32+S29+S25+S22+S19+S16+S13</f>
        <v>0</v>
      </c>
      <c r="T51" s="1588">
        <f>T44+T41+T38+T35+T32+T29+T25+T22+T19+T16+T13</f>
        <v>0</v>
      </c>
      <c r="U51" s="1589"/>
      <c r="V51" s="1590">
        <f>V44+V41+V38+V35+V32+V29+V25+V22+V19+V16+V13</f>
        <v>0</v>
      </c>
      <c r="W51" s="1590">
        <f>W44+W41+W38+W35+W32+W29+W25+W22+W19+W16+W13</f>
        <v>0</v>
      </c>
      <c r="X51" s="1591">
        <f>X44+X41+X38+X35+X32+X29+X25+X22+X19+X16+X13</f>
        <v>0</v>
      </c>
    </row>
    <row r="52" spans="1:24" s="1562" customFormat="1" ht="18.75" customHeight="1" thickBot="1" x14ac:dyDescent="0.25">
      <c r="A52" s="2162">
        <v>1</v>
      </c>
      <c r="B52" s="1592" t="s">
        <v>661</v>
      </c>
      <c r="C52" s="3363" t="s">
        <v>234</v>
      </c>
      <c r="D52" s="3364"/>
      <c r="E52" s="3364"/>
      <c r="F52" s="3364"/>
      <c r="G52" s="3364"/>
      <c r="H52" s="3365"/>
      <c r="I52" s="1593">
        <f>J52+L52</f>
        <v>1002.7</v>
      </c>
      <c r="J52" s="1594">
        <f>J49+J47+J45+J42+J39+J36+J33+J30+J27+J23+J20+J17+J14</f>
        <v>992.7</v>
      </c>
      <c r="K52" s="1594">
        <f>K49+K47+K45+K42+K39+K36+K33+K30+K27+K23+K20+K17+K14</f>
        <v>0</v>
      </c>
      <c r="L52" s="1594">
        <f>L49+L47+L45+L42+L39+L36+L33+L30+L27+L23+L20+L17+L14</f>
        <v>10</v>
      </c>
      <c r="M52" s="1593">
        <f>N52+P52</f>
        <v>1499.9</v>
      </c>
      <c r="N52" s="1595">
        <f>N49+N47+N45+N42+N39+N36+N33+N30+N27+N23+N20+N17+N14</f>
        <v>1499.9</v>
      </c>
      <c r="O52" s="1595">
        <f>O49+O47+O45+O42+O39+O36+O33+O30+O27+O23+O20+O17+O14</f>
        <v>0</v>
      </c>
      <c r="P52" s="1596">
        <f>P49+P47+P45+P42+P39+P36+P33+P30+P27+P23+P20+P17+P14</f>
        <v>0</v>
      </c>
      <c r="Q52" s="1593">
        <f>R52+T52</f>
        <v>1360</v>
      </c>
      <c r="R52" s="1595">
        <f>R49+R47+R45+R42+R39+R36+R33+R30+R27+R23+R20+R17+R14</f>
        <v>1360</v>
      </c>
      <c r="S52" s="1595">
        <f>S49+S47+S45+S42+S39+S36+S33+S30+S27+S23+S20+S17+S14</f>
        <v>0</v>
      </c>
      <c r="T52" s="1596">
        <f>T49+T47+T45+T42+T39+T36+T33+T30+T27+T23+T20+T17+T14</f>
        <v>0</v>
      </c>
      <c r="U52" s="1593">
        <f>V52+X52</f>
        <v>1360</v>
      </c>
      <c r="V52" s="1595">
        <f>V49+V47+V45+V42+V39+V36+V33+V30+V27+V23+V20+V17+V14</f>
        <v>1360</v>
      </c>
      <c r="W52" s="1595">
        <f>W49+W47+W45+W42+W39+W36+W33+W30+W27+W23+W20+W17+W14</f>
        <v>0</v>
      </c>
      <c r="X52" s="1596">
        <f>X49+X47+X45+X42+X39+X36+X33+X30+X27+X23+X20+X17+X14</f>
        <v>0</v>
      </c>
    </row>
    <row r="53" spans="1:24" s="1559" customFormat="1" ht="22.5" customHeight="1" thickBot="1" x14ac:dyDescent="0.25">
      <c r="A53" s="2162">
        <v>1</v>
      </c>
      <c r="B53" s="1563">
        <v>2</v>
      </c>
      <c r="C53" s="3333" t="s">
        <v>662</v>
      </c>
      <c r="D53" s="3334"/>
      <c r="E53" s="3334"/>
      <c r="F53" s="3334"/>
      <c r="G53" s="3334"/>
      <c r="H53" s="3334"/>
      <c r="I53" s="3334"/>
      <c r="J53" s="3334"/>
      <c r="K53" s="3334"/>
      <c r="L53" s="3334"/>
      <c r="M53" s="3334"/>
      <c r="N53" s="3334"/>
      <c r="O53" s="3334"/>
      <c r="P53" s="3334"/>
      <c r="Q53" s="3334"/>
      <c r="R53" s="3334"/>
      <c r="S53" s="3334"/>
      <c r="T53" s="3334"/>
      <c r="U53" s="3334"/>
      <c r="V53" s="3334"/>
      <c r="W53" s="3334"/>
      <c r="X53" s="3335"/>
    </row>
    <row r="54" spans="1:24" s="1559" customFormat="1" ht="12" customHeight="1" x14ac:dyDescent="0.2">
      <c r="A54" s="3366">
        <v>1</v>
      </c>
      <c r="B54" s="3367">
        <v>2</v>
      </c>
      <c r="C54" s="3370">
        <v>1</v>
      </c>
      <c r="D54" s="3346" t="s">
        <v>663</v>
      </c>
      <c r="E54" s="3341">
        <v>9</v>
      </c>
      <c r="F54" s="3342" t="s">
        <v>291</v>
      </c>
      <c r="G54" s="3342" t="s">
        <v>664</v>
      </c>
      <c r="H54" s="1566" t="s">
        <v>665</v>
      </c>
      <c r="I54" s="1565"/>
      <c r="J54" s="2163"/>
      <c r="K54" s="2163"/>
      <c r="L54" s="1566">
        <v>0</v>
      </c>
      <c r="M54" s="1565">
        <f t="shared" ref="M54:M63" si="41">N54+P54</f>
        <v>5</v>
      </c>
      <c r="N54" s="2163">
        <v>5</v>
      </c>
      <c r="O54" s="2163"/>
      <c r="P54" s="1566">
        <v>0</v>
      </c>
      <c r="Q54" s="1565">
        <f>R54+T54</f>
        <v>5</v>
      </c>
      <c r="R54" s="2163">
        <v>5</v>
      </c>
      <c r="S54" s="2163"/>
      <c r="T54" s="1566">
        <v>0</v>
      </c>
      <c r="U54" s="1565">
        <f>V54+X54</f>
        <v>5</v>
      </c>
      <c r="V54" s="2163">
        <v>5</v>
      </c>
      <c r="W54" s="2163"/>
      <c r="X54" s="1566">
        <v>0</v>
      </c>
    </row>
    <row r="55" spans="1:24" s="1559" customFormat="1" ht="13.5" customHeight="1" thickBot="1" x14ac:dyDescent="0.25">
      <c r="A55" s="3366"/>
      <c r="B55" s="3368"/>
      <c r="C55" s="3370"/>
      <c r="D55" s="3346"/>
      <c r="E55" s="3341"/>
      <c r="F55" s="3374"/>
      <c r="G55" s="3374"/>
      <c r="H55" s="1573" t="s">
        <v>30</v>
      </c>
      <c r="I55" s="1565">
        <v>5.7</v>
      </c>
      <c r="J55" s="1938">
        <v>5.7</v>
      </c>
      <c r="K55" s="2163"/>
      <c r="L55" s="1566">
        <v>0</v>
      </c>
      <c r="M55" s="1565">
        <f t="shared" si="41"/>
        <v>5</v>
      </c>
      <c r="N55" s="2163">
        <v>5</v>
      </c>
      <c r="O55" s="2163"/>
      <c r="P55" s="1566">
        <v>0</v>
      </c>
      <c r="Q55" s="1565">
        <f>R55+T55</f>
        <v>5</v>
      </c>
      <c r="R55" s="2163">
        <v>5</v>
      </c>
      <c r="S55" s="2163"/>
      <c r="T55" s="1566">
        <v>0</v>
      </c>
      <c r="U55" s="1565">
        <f>V55+X55</f>
        <v>5</v>
      </c>
      <c r="V55" s="2163">
        <v>5</v>
      </c>
      <c r="W55" s="2163"/>
      <c r="X55" s="1566">
        <v>0</v>
      </c>
    </row>
    <row r="56" spans="1:24" s="1559" customFormat="1" ht="14.25" customHeight="1" thickBot="1" x14ac:dyDescent="0.25">
      <c r="A56" s="3366"/>
      <c r="B56" s="3369"/>
      <c r="C56" s="3371"/>
      <c r="D56" s="3372"/>
      <c r="E56" s="3373"/>
      <c r="F56" s="3349" t="s">
        <v>35</v>
      </c>
      <c r="G56" s="3350"/>
      <c r="H56" s="3351"/>
      <c r="I56" s="1567">
        <f>J56+L56</f>
        <v>5.7</v>
      </c>
      <c r="J56" s="1568">
        <f>SUM(J54,J55)</f>
        <v>5.7</v>
      </c>
      <c r="K56" s="1568">
        <f>SUM(K54,K55)</f>
        <v>0</v>
      </c>
      <c r="L56" s="1569">
        <f>SUM(L54,L55)</f>
        <v>0</v>
      </c>
      <c r="M56" s="1567">
        <f t="shared" si="41"/>
        <v>10</v>
      </c>
      <c r="N56" s="1568">
        <f>SUM(N54,N55)</f>
        <v>10</v>
      </c>
      <c r="O56" s="1568">
        <f>SUM(O54,O55)</f>
        <v>0</v>
      </c>
      <c r="P56" s="1569">
        <f>SUM(P54,P55)</f>
        <v>0</v>
      </c>
      <c r="Q56" s="1567">
        <f>R56+T56</f>
        <v>10</v>
      </c>
      <c r="R56" s="1568">
        <f>SUM(R54,R55)</f>
        <v>10</v>
      </c>
      <c r="S56" s="1568">
        <f>SUM(S54,S55)</f>
        <v>0</v>
      </c>
      <c r="T56" s="1569">
        <f>SUM(T54,T55)</f>
        <v>0</v>
      </c>
      <c r="U56" s="1567">
        <f>V56+X56</f>
        <v>10</v>
      </c>
      <c r="V56" s="1568">
        <f>SUM(V54,V55)</f>
        <v>10</v>
      </c>
      <c r="W56" s="1568">
        <f>SUM(W54,W55)</f>
        <v>0</v>
      </c>
      <c r="X56" s="1569">
        <f>SUM(X54,X55)</f>
        <v>0</v>
      </c>
    </row>
    <row r="57" spans="1:24" s="1559" customFormat="1" ht="20.25" customHeight="1" x14ac:dyDescent="0.2">
      <c r="A57" s="3382">
        <v>1</v>
      </c>
      <c r="B57" s="3368">
        <v>2</v>
      </c>
      <c r="C57" s="3385">
        <v>2</v>
      </c>
      <c r="D57" s="3304" t="s">
        <v>666</v>
      </c>
      <c r="E57" s="3347">
        <v>9</v>
      </c>
      <c r="F57" s="3348" t="s">
        <v>291</v>
      </c>
      <c r="G57" s="3348" t="s">
        <v>667</v>
      </c>
      <c r="H57" s="2173" t="s">
        <v>30</v>
      </c>
      <c r="I57" s="1565">
        <f>J57+L57</f>
        <v>16.600000000000001</v>
      </c>
      <c r="J57" s="1938">
        <v>16.600000000000001</v>
      </c>
      <c r="K57" s="2163"/>
      <c r="L57" s="1566"/>
      <c r="M57" s="1565">
        <f t="shared" si="41"/>
        <v>30</v>
      </c>
      <c r="N57" s="1938">
        <v>30</v>
      </c>
      <c r="O57" s="2163"/>
      <c r="P57" s="1566"/>
      <c r="Q57" s="1565">
        <f>R57+T57</f>
        <v>100</v>
      </c>
      <c r="R57" s="2163">
        <v>100</v>
      </c>
      <c r="S57" s="2163"/>
      <c r="T57" s="1566"/>
      <c r="U57" s="1565">
        <f>V57+X57</f>
        <v>100</v>
      </c>
      <c r="V57" s="2163">
        <v>100</v>
      </c>
      <c r="W57" s="2163"/>
      <c r="X57" s="1566"/>
    </row>
    <row r="58" spans="1:24" s="1559" customFormat="1" ht="20.25" customHeight="1" thickBot="1" x14ac:dyDescent="0.25">
      <c r="A58" s="3383"/>
      <c r="B58" s="3368"/>
      <c r="C58" s="3370"/>
      <c r="D58" s="3346"/>
      <c r="E58" s="3341"/>
      <c r="F58" s="3374"/>
      <c r="G58" s="3374"/>
      <c r="H58" s="1597" t="s">
        <v>634</v>
      </c>
      <c r="I58" s="1572"/>
      <c r="J58" s="2145"/>
      <c r="K58" s="2145"/>
      <c r="L58" s="1573"/>
      <c r="M58" s="1572">
        <f t="shared" si="41"/>
        <v>30</v>
      </c>
      <c r="N58" s="2165">
        <v>30</v>
      </c>
      <c r="O58" s="2145"/>
      <c r="P58" s="1573"/>
      <c r="Q58" s="1572"/>
      <c r="R58" s="2145"/>
      <c r="S58" s="2145"/>
      <c r="T58" s="1573"/>
      <c r="U58" s="1572"/>
      <c r="V58" s="2145"/>
      <c r="W58" s="2145"/>
      <c r="X58" s="1573"/>
    </row>
    <row r="59" spans="1:24" s="1559" customFormat="1" ht="17.25" customHeight="1" thickBot="1" x14ac:dyDescent="0.25">
      <c r="A59" s="3384"/>
      <c r="B59" s="3369"/>
      <c r="C59" s="3386"/>
      <c r="D59" s="3387"/>
      <c r="E59" s="3388"/>
      <c r="F59" s="3349" t="s">
        <v>35</v>
      </c>
      <c r="G59" s="3350"/>
      <c r="H59" s="3351"/>
      <c r="I59" s="1567">
        <f>J59+L59</f>
        <v>16.600000000000001</v>
      </c>
      <c r="J59" s="1568">
        <f>SUM(J57,J58)</f>
        <v>16.600000000000001</v>
      </c>
      <c r="K59" s="1568">
        <f t="shared" ref="K59:L59" si="42">SUM(K57,K58)</f>
        <v>0</v>
      </c>
      <c r="L59" s="1568">
        <f t="shared" si="42"/>
        <v>0</v>
      </c>
      <c r="M59" s="1567">
        <f t="shared" si="41"/>
        <v>60</v>
      </c>
      <c r="N59" s="1568">
        <f>SUM(N57,N58)</f>
        <v>60</v>
      </c>
      <c r="O59" s="1568">
        <f t="shared" ref="O59:P59" si="43">SUM(O57,O58)</f>
        <v>0</v>
      </c>
      <c r="P59" s="1568">
        <f t="shared" si="43"/>
        <v>0</v>
      </c>
      <c r="Q59" s="1567">
        <f>R59+T59</f>
        <v>100</v>
      </c>
      <c r="R59" s="1568">
        <f>SUM(R57,R58)</f>
        <v>100</v>
      </c>
      <c r="S59" s="1568">
        <f t="shared" ref="S59:T59" si="44">SUM(S57,S58)</f>
        <v>0</v>
      </c>
      <c r="T59" s="1569">
        <f t="shared" si="44"/>
        <v>0</v>
      </c>
      <c r="U59" s="1567">
        <f>V59+X59</f>
        <v>100</v>
      </c>
      <c r="V59" s="1568">
        <f>SUM(V57,V58)</f>
        <v>100</v>
      </c>
      <c r="W59" s="1568">
        <f t="shared" ref="W59:X59" si="45">SUM(W57,W58)</f>
        <v>0</v>
      </c>
      <c r="X59" s="1569">
        <f t="shared" si="45"/>
        <v>0</v>
      </c>
    </row>
    <row r="60" spans="1:24" s="1562" customFormat="1" ht="15.75" customHeight="1" thickBot="1" x14ac:dyDescent="0.25">
      <c r="A60" s="3375">
        <v>1</v>
      </c>
      <c r="B60" s="3377">
        <v>2</v>
      </c>
      <c r="C60" s="3343" t="s">
        <v>659</v>
      </c>
      <c r="D60" s="3344"/>
      <c r="E60" s="3344"/>
      <c r="F60" s="3344"/>
      <c r="G60" s="3344"/>
      <c r="H60" s="3357"/>
      <c r="I60" s="1582">
        <f>J60+L60</f>
        <v>22.3</v>
      </c>
      <c r="J60" s="1578">
        <f>J57+J55</f>
        <v>22.3</v>
      </c>
      <c r="K60" s="1578"/>
      <c r="L60" s="1581">
        <f>L57+L55</f>
        <v>0</v>
      </c>
      <c r="M60" s="1582">
        <f t="shared" si="41"/>
        <v>35</v>
      </c>
      <c r="N60" s="1578">
        <f>N57+N55</f>
        <v>35</v>
      </c>
      <c r="O60" s="1578"/>
      <c r="P60" s="1581">
        <f>P57+P55</f>
        <v>0</v>
      </c>
      <c r="Q60" s="1582">
        <f>R60+T60</f>
        <v>105</v>
      </c>
      <c r="R60" s="1578">
        <f>R57+R55</f>
        <v>105</v>
      </c>
      <c r="S60" s="1578"/>
      <c r="T60" s="1581">
        <f>T57+T55</f>
        <v>0</v>
      </c>
      <c r="U60" s="1582">
        <f>V60+X60</f>
        <v>105</v>
      </c>
      <c r="V60" s="1578">
        <f>V57+V55</f>
        <v>105</v>
      </c>
      <c r="W60" s="1578"/>
      <c r="X60" s="1581">
        <f>X57+X55</f>
        <v>0</v>
      </c>
    </row>
    <row r="61" spans="1:24" s="1562" customFormat="1" ht="16.5" customHeight="1" thickBot="1" x14ac:dyDescent="0.25">
      <c r="A61" s="3376"/>
      <c r="B61" s="3378"/>
      <c r="C61" s="3343" t="s">
        <v>668</v>
      </c>
      <c r="D61" s="3344"/>
      <c r="E61" s="3344"/>
      <c r="F61" s="3344"/>
      <c r="G61" s="3344"/>
      <c r="H61" s="3344"/>
      <c r="I61" s="1589">
        <f>J61+L61</f>
        <v>0</v>
      </c>
      <c r="J61" s="1590">
        <f>J54</f>
        <v>0</v>
      </c>
      <c r="K61" s="1590">
        <f t="shared" ref="K61:L61" si="46">K54</f>
        <v>0</v>
      </c>
      <c r="L61" s="1590">
        <f t="shared" si="46"/>
        <v>0</v>
      </c>
      <c r="M61" s="1589">
        <f t="shared" si="41"/>
        <v>5</v>
      </c>
      <c r="N61" s="1590">
        <f>N54</f>
        <v>5</v>
      </c>
      <c r="O61" s="1590">
        <f t="shared" ref="O61:P61" si="47">O54</f>
        <v>0</v>
      </c>
      <c r="P61" s="1590">
        <f t="shared" si="47"/>
        <v>0</v>
      </c>
      <c r="Q61" s="1589">
        <f>R61+T61</f>
        <v>5</v>
      </c>
      <c r="R61" s="1590">
        <f>R54</f>
        <v>5</v>
      </c>
      <c r="S61" s="1590">
        <f t="shared" ref="S61:T61" si="48">S54</f>
        <v>0</v>
      </c>
      <c r="T61" s="1591">
        <f t="shared" si="48"/>
        <v>0</v>
      </c>
      <c r="U61" s="1589">
        <f>V61+X61</f>
        <v>5</v>
      </c>
      <c r="V61" s="1590">
        <f>V54</f>
        <v>5</v>
      </c>
      <c r="W61" s="1590">
        <f t="shared" ref="W61:X61" si="49">W54</f>
        <v>0</v>
      </c>
      <c r="X61" s="1591">
        <f t="shared" si="49"/>
        <v>0</v>
      </c>
    </row>
    <row r="62" spans="1:24" s="1562" customFormat="1" ht="16.5" customHeight="1" thickBot="1" x14ac:dyDescent="0.25">
      <c r="A62" s="1598"/>
      <c r="B62" s="2160"/>
      <c r="C62" s="2157"/>
      <c r="D62" s="2158"/>
      <c r="E62" s="2158"/>
      <c r="F62" s="2158"/>
      <c r="G62" s="3350" t="s">
        <v>660</v>
      </c>
      <c r="H62" s="3351"/>
      <c r="I62" s="1589"/>
      <c r="J62" s="1590"/>
      <c r="K62" s="1590"/>
      <c r="L62" s="1591"/>
      <c r="M62" s="1589">
        <f t="shared" si="41"/>
        <v>30</v>
      </c>
      <c r="N62" s="1590">
        <f>N58</f>
        <v>30</v>
      </c>
      <c r="O62" s="1590"/>
      <c r="P62" s="1591"/>
      <c r="Q62" s="1589"/>
      <c r="R62" s="1590"/>
      <c r="S62" s="1590"/>
      <c r="T62" s="1591"/>
      <c r="U62" s="1589"/>
      <c r="V62" s="1590"/>
      <c r="W62" s="1590"/>
      <c r="X62" s="1591"/>
    </row>
    <row r="63" spans="1:24" s="1562" customFormat="1" ht="16.5" customHeight="1" thickBot="1" x14ac:dyDescent="0.25">
      <c r="A63" s="1598">
        <v>1</v>
      </c>
      <c r="B63" s="1592" t="s">
        <v>290</v>
      </c>
      <c r="C63" s="3379" t="s">
        <v>234</v>
      </c>
      <c r="D63" s="3380"/>
      <c r="E63" s="3380"/>
      <c r="F63" s="3380"/>
      <c r="G63" s="3380"/>
      <c r="H63" s="3381"/>
      <c r="I63" s="1593">
        <f>J63+L63</f>
        <v>22.3</v>
      </c>
      <c r="J63" s="1595">
        <f>SUM(J59,J56)</f>
        <v>22.3</v>
      </c>
      <c r="K63" s="1595">
        <f>SUM(K59,K56)</f>
        <v>0</v>
      </c>
      <c r="L63" s="1596">
        <f>SUM(L59,L56)</f>
        <v>0</v>
      </c>
      <c r="M63" s="1593">
        <f t="shared" si="41"/>
        <v>70</v>
      </c>
      <c r="N63" s="1595">
        <f>SUM(N59,N56)</f>
        <v>70</v>
      </c>
      <c r="O63" s="1595">
        <f>SUM(O59,O56)</f>
        <v>0</v>
      </c>
      <c r="P63" s="1596">
        <f>SUM(P59,P56)</f>
        <v>0</v>
      </c>
      <c r="Q63" s="1593">
        <f>R63+T63</f>
        <v>110</v>
      </c>
      <c r="R63" s="1595">
        <f>SUM(R59,R56)</f>
        <v>110</v>
      </c>
      <c r="S63" s="1595">
        <f>SUM(S59,S56)</f>
        <v>0</v>
      </c>
      <c r="T63" s="1596">
        <f>SUM(T59,T56)</f>
        <v>0</v>
      </c>
      <c r="U63" s="1593">
        <f>V63+X63</f>
        <v>110</v>
      </c>
      <c r="V63" s="1595">
        <f>SUM(V59,V56)</f>
        <v>110</v>
      </c>
      <c r="W63" s="1595">
        <f>SUM(W59,W56)</f>
        <v>0</v>
      </c>
      <c r="X63" s="1596">
        <f>SUM(X59,X56)</f>
        <v>0</v>
      </c>
    </row>
    <row r="64" spans="1:24" s="1559" customFormat="1" ht="18" customHeight="1" thickBot="1" x14ac:dyDescent="0.25">
      <c r="A64" s="2162">
        <v>1</v>
      </c>
      <c r="B64" s="1563">
        <v>3</v>
      </c>
      <c r="C64" s="3333" t="s">
        <v>669</v>
      </c>
      <c r="D64" s="3334"/>
      <c r="E64" s="3334"/>
      <c r="F64" s="3334"/>
      <c r="G64" s="3334"/>
      <c r="H64" s="3334"/>
      <c r="I64" s="3334"/>
      <c r="J64" s="3334"/>
      <c r="K64" s="3334"/>
      <c r="L64" s="3334"/>
      <c r="M64" s="3334"/>
      <c r="N64" s="3334"/>
      <c r="O64" s="3334"/>
      <c r="P64" s="3334"/>
      <c r="Q64" s="3334"/>
      <c r="R64" s="3334"/>
      <c r="S64" s="3334"/>
      <c r="T64" s="3334"/>
      <c r="U64" s="3334"/>
      <c r="V64" s="3334"/>
      <c r="W64" s="3334"/>
      <c r="X64" s="3335"/>
    </row>
    <row r="65" spans="1:24" s="1562" customFormat="1" ht="15.75" customHeight="1" x14ac:dyDescent="0.2">
      <c r="A65" s="3336">
        <v>1</v>
      </c>
      <c r="B65" s="3337">
        <v>3</v>
      </c>
      <c r="C65" s="3339">
        <v>1</v>
      </c>
      <c r="D65" s="3346" t="s">
        <v>670</v>
      </c>
      <c r="E65" s="3341">
        <v>9</v>
      </c>
      <c r="F65" s="3389" t="s">
        <v>291</v>
      </c>
      <c r="G65" s="3389" t="s">
        <v>671</v>
      </c>
      <c r="H65" s="1564" t="s">
        <v>111</v>
      </c>
      <c r="I65" s="1599">
        <f t="shared" ref="I65:I87" si="50">J65+L65</f>
        <v>36.1</v>
      </c>
      <c r="J65" s="2163">
        <v>0</v>
      </c>
      <c r="K65" s="2163">
        <v>0</v>
      </c>
      <c r="L65" s="2005">
        <v>36.1</v>
      </c>
      <c r="M65" s="1565">
        <f>N65+P65</f>
        <v>93.9</v>
      </c>
      <c r="N65" s="2163">
        <v>0</v>
      </c>
      <c r="O65" s="2163">
        <v>0</v>
      </c>
      <c r="P65" s="1600">
        <v>93.9</v>
      </c>
      <c r="Q65" s="1599"/>
      <c r="R65" s="2163"/>
      <c r="S65" s="2163"/>
      <c r="T65" s="1600"/>
      <c r="U65" s="1601"/>
      <c r="V65" s="2178"/>
      <c r="W65" s="2178"/>
      <c r="X65" s="1602"/>
    </row>
    <row r="66" spans="1:24" s="1562" customFormat="1" ht="15" customHeight="1" x14ac:dyDescent="0.2">
      <c r="A66" s="3336"/>
      <c r="B66" s="3338"/>
      <c r="C66" s="3339"/>
      <c r="D66" s="3346"/>
      <c r="E66" s="3341"/>
      <c r="F66" s="3390"/>
      <c r="G66" s="3390"/>
      <c r="H66" s="1571" t="s">
        <v>112</v>
      </c>
      <c r="I66" s="1603">
        <v>24</v>
      </c>
      <c r="J66" s="2172"/>
      <c r="K66" s="2172"/>
      <c r="L66" s="2006">
        <v>6.4</v>
      </c>
      <c r="M66" s="2174">
        <f>N66+P66</f>
        <v>17.600000000000001</v>
      </c>
      <c r="N66" s="2172"/>
      <c r="O66" s="2172"/>
      <c r="P66" s="2173">
        <v>17.600000000000001</v>
      </c>
      <c r="Q66" s="1603"/>
      <c r="R66" s="2172"/>
      <c r="S66" s="2172"/>
      <c r="T66" s="1604"/>
      <c r="U66" s="1603"/>
      <c r="V66" s="2172"/>
      <c r="W66" s="2172"/>
      <c r="X66" s="1604"/>
    </row>
    <row r="67" spans="1:24" s="1562" customFormat="1" ht="15" customHeight="1" x14ac:dyDescent="0.2">
      <c r="A67" s="3336"/>
      <c r="B67" s="3338"/>
      <c r="C67" s="3339"/>
      <c r="D67" s="3346"/>
      <c r="E67" s="3341"/>
      <c r="F67" s="3390"/>
      <c r="G67" s="3390"/>
      <c r="H67" s="1571" t="s">
        <v>665</v>
      </c>
      <c r="I67" s="1603">
        <f>SUM(L67,J67)</f>
        <v>100</v>
      </c>
      <c r="J67" s="2172"/>
      <c r="K67" s="2172"/>
      <c r="L67" s="2006">
        <f>536-436</f>
        <v>100</v>
      </c>
      <c r="M67" s="1603">
        <f>N67+P67</f>
        <v>122.8</v>
      </c>
      <c r="N67" s="2172"/>
      <c r="O67" s="2172"/>
      <c r="P67" s="1604">
        <v>122.8</v>
      </c>
      <c r="Q67" s="1603"/>
      <c r="R67" s="2172"/>
      <c r="S67" s="2172"/>
      <c r="T67" s="1604"/>
      <c r="U67" s="1603"/>
      <c r="V67" s="2172"/>
      <c r="W67" s="2172"/>
      <c r="X67" s="1604"/>
    </row>
    <row r="68" spans="1:24" s="1562" customFormat="1" ht="16.5" customHeight="1" thickBot="1" x14ac:dyDescent="0.25">
      <c r="A68" s="3336"/>
      <c r="B68" s="3338"/>
      <c r="C68" s="3339"/>
      <c r="D68" s="3346"/>
      <c r="E68" s="3341"/>
      <c r="F68" s="3390"/>
      <c r="G68" s="3390"/>
      <c r="H68" s="1571" t="s">
        <v>30</v>
      </c>
      <c r="I68" s="1572">
        <f t="shared" si="50"/>
        <v>96.3</v>
      </c>
      <c r="J68" s="2145"/>
      <c r="K68" s="2145"/>
      <c r="L68" s="2014">
        <v>96.3</v>
      </c>
      <c r="M68" s="1572">
        <f t="shared" ref="M68:M95" si="51">N68+P68</f>
        <v>50</v>
      </c>
      <c r="N68" s="2145"/>
      <c r="O68" s="2145"/>
      <c r="P68" s="1573">
        <v>50</v>
      </c>
      <c r="Q68" s="1572"/>
      <c r="R68" s="2145"/>
      <c r="S68" s="2145"/>
      <c r="T68" s="1573"/>
      <c r="U68" s="1572"/>
      <c r="V68" s="2145"/>
      <c r="W68" s="2145"/>
      <c r="X68" s="1573"/>
    </row>
    <row r="69" spans="1:24" s="1562" customFormat="1" ht="19.5" customHeight="1" thickBot="1" x14ac:dyDescent="0.25">
      <c r="A69" s="3336"/>
      <c r="B69" s="3338"/>
      <c r="C69" s="3339"/>
      <c r="D69" s="3346"/>
      <c r="E69" s="3341"/>
      <c r="F69" s="3349" t="s">
        <v>35</v>
      </c>
      <c r="G69" s="3350"/>
      <c r="H69" s="3351"/>
      <c r="I69" s="1605">
        <f t="shared" si="50"/>
        <v>238.8</v>
      </c>
      <c r="J69" s="1606">
        <f>SUM(J65:J68)</f>
        <v>0</v>
      </c>
      <c r="K69" s="1606">
        <f t="shared" ref="K69:L69" si="52">SUM(K65:K68)</f>
        <v>0</v>
      </c>
      <c r="L69" s="1607">
        <f t="shared" si="52"/>
        <v>238.8</v>
      </c>
      <c r="M69" s="1605">
        <f t="shared" si="51"/>
        <v>284.3</v>
      </c>
      <c r="N69" s="1606">
        <f>SUM(N65:N68)</f>
        <v>0</v>
      </c>
      <c r="O69" s="1606">
        <f t="shared" ref="O69:P69" si="53">SUM(O65:O68)</f>
        <v>0</v>
      </c>
      <c r="P69" s="1607">
        <f t="shared" si="53"/>
        <v>284.3</v>
      </c>
      <c r="Q69" s="1605">
        <f t="shared" ref="Q69:Q87" si="54">R69+T69</f>
        <v>0</v>
      </c>
      <c r="R69" s="1606">
        <f>SUM(R65:R68)</f>
        <v>0</v>
      </c>
      <c r="S69" s="1606">
        <f t="shared" ref="S69:T69" si="55">SUM(S65:S68)</f>
        <v>0</v>
      </c>
      <c r="T69" s="1607">
        <f t="shared" si="55"/>
        <v>0</v>
      </c>
      <c r="U69" s="1567">
        <f t="shared" ref="U69:U71" si="56">V69+X69</f>
        <v>0</v>
      </c>
      <c r="V69" s="1568">
        <f>SUM(V65:V68)</f>
        <v>0</v>
      </c>
      <c r="W69" s="1568">
        <f t="shared" ref="W69:X69" si="57">SUM(W65:W68)</f>
        <v>0</v>
      </c>
      <c r="X69" s="1569">
        <f t="shared" si="57"/>
        <v>0</v>
      </c>
    </row>
    <row r="70" spans="1:24" s="1559" customFormat="1" ht="18.75" customHeight="1" x14ac:dyDescent="0.2">
      <c r="A70" s="3336">
        <v>1</v>
      </c>
      <c r="B70" s="3337">
        <v>3</v>
      </c>
      <c r="C70" s="3345">
        <v>2</v>
      </c>
      <c r="D70" s="3395" t="s">
        <v>672</v>
      </c>
      <c r="E70" s="3347">
        <v>9</v>
      </c>
      <c r="F70" s="3391" t="s">
        <v>673</v>
      </c>
      <c r="G70" s="3391" t="s">
        <v>674</v>
      </c>
      <c r="H70" s="1608" t="s">
        <v>30</v>
      </c>
      <c r="I70" s="2180">
        <f t="shared" si="50"/>
        <v>0</v>
      </c>
      <c r="J70" s="2178">
        <v>0</v>
      </c>
      <c r="K70" s="2178">
        <v>0</v>
      </c>
      <c r="L70" s="2179"/>
      <c r="M70" s="2180">
        <f t="shared" si="51"/>
        <v>100</v>
      </c>
      <c r="N70" s="2178">
        <v>0</v>
      </c>
      <c r="O70" s="2178">
        <v>0</v>
      </c>
      <c r="P70" s="2179">
        <v>100</v>
      </c>
      <c r="Q70" s="2180">
        <f t="shared" si="54"/>
        <v>100</v>
      </c>
      <c r="R70" s="2178">
        <v>0</v>
      </c>
      <c r="S70" s="2178">
        <v>0</v>
      </c>
      <c r="T70" s="2179">
        <v>100</v>
      </c>
      <c r="U70" s="2180">
        <f t="shared" si="56"/>
        <v>100</v>
      </c>
      <c r="V70" s="2178">
        <v>0</v>
      </c>
      <c r="W70" s="2178">
        <v>0</v>
      </c>
      <c r="X70" s="2179">
        <v>100</v>
      </c>
    </row>
    <row r="71" spans="1:24" s="1559" customFormat="1" ht="19.5" customHeight="1" x14ac:dyDescent="0.2">
      <c r="A71" s="3336"/>
      <c r="B71" s="3338"/>
      <c r="C71" s="3339"/>
      <c r="D71" s="3340"/>
      <c r="E71" s="3341"/>
      <c r="F71" s="3392"/>
      <c r="G71" s="3392"/>
      <c r="H71" s="1609" t="s">
        <v>665</v>
      </c>
      <c r="I71" s="2174">
        <f t="shared" si="50"/>
        <v>20</v>
      </c>
      <c r="J71" s="2172"/>
      <c r="K71" s="2172"/>
      <c r="L71" s="2006">
        <v>20</v>
      </c>
      <c r="M71" s="2174">
        <f t="shared" si="51"/>
        <v>100</v>
      </c>
      <c r="N71" s="2172"/>
      <c r="O71" s="2172"/>
      <c r="P71" s="2173">
        <v>100</v>
      </c>
      <c r="Q71" s="2174">
        <f t="shared" si="54"/>
        <v>200</v>
      </c>
      <c r="R71" s="2172"/>
      <c r="S71" s="2172"/>
      <c r="T71" s="2173">
        <v>200</v>
      </c>
      <c r="U71" s="2174">
        <f t="shared" si="56"/>
        <v>100</v>
      </c>
      <c r="V71" s="2172"/>
      <c r="W71" s="2172"/>
      <c r="X71" s="2173">
        <v>100</v>
      </c>
    </row>
    <row r="72" spans="1:24" s="1559" customFormat="1" ht="16.5" customHeight="1" thickBot="1" x14ac:dyDescent="0.25">
      <c r="A72" s="3336"/>
      <c r="B72" s="3338"/>
      <c r="C72" s="3339"/>
      <c r="D72" s="3340"/>
      <c r="E72" s="3341"/>
      <c r="F72" s="3393"/>
      <c r="G72" s="3393"/>
      <c r="H72" s="1610" t="s">
        <v>32</v>
      </c>
      <c r="I72" s="1667">
        <f t="shared" si="50"/>
        <v>0</v>
      </c>
      <c r="J72" s="1611"/>
      <c r="K72" s="1611"/>
      <c r="L72" s="1668">
        <f>50-50</f>
        <v>0</v>
      </c>
      <c r="M72" s="1667"/>
      <c r="N72" s="1611"/>
      <c r="O72" s="1611"/>
      <c r="P72" s="1668"/>
      <c r="Q72" s="1667"/>
      <c r="R72" s="1611"/>
      <c r="S72" s="1611"/>
      <c r="T72" s="1668"/>
      <c r="U72" s="1667"/>
      <c r="V72" s="1611"/>
      <c r="W72" s="1611"/>
      <c r="X72" s="1668"/>
    </row>
    <row r="73" spans="1:24" s="1559" customFormat="1" ht="12" thickBot="1" x14ac:dyDescent="0.25">
      <c r="A73" s="3336"/>
      <c r="B73" s="3338"/>
      <c r="C73" s="3394"/>
      <c r="D73" s="3340"/>
      <c r="E73" s="3341"/>
      <c r="F73" s="3349" t="s">
        <v>35</v>
      </c>
      <c r="G73" s="3350"/>
      <c r="H73" s="3351"/>
      <c r="I73" s="1612">
        <f>J73+L73</f>
        <v>20</v>
      </c>
      <c r="J73" s="1613">
        <f>SUM(J70:J72)</f>
        <v>0</v>
      </c>
      <c r="K73" s="1613">
        <f>SUM(K70:K72)</f>
        <v>0</v>
      </c>
      <c r="L73" s="1614">
        <f>SUM(L70+L71+L72)</f>
        <v>20</v>
      </c>
      <c r="M73" s="1612">
        <f t="shared" si="51"/>
        <v>200</v>
      </c>
      <c r="N73" s="1613">
        <f>SUM(N70:N72)</f>
        <v>0</v>
      </c>
      <c r="O73" s="1613">
        <f>SUM(O70)</f>
        <v>0</v>
      </c>
      <c r="P73" s="1614">
        <f>SUM(P70+P71)</f>
        <v>200</v>
      </c>
      <c r="Q73" s="1612">
        <f t="shared" si="54"/>
        <v>300</v>
      </c>
      <c r="R73" s="1613">
        <f>SUM(R70)</f>
        <v>0</v>
      </c>
      <c r="S73" s="1613">
        <f>SUM(S70)</f>
        <v>0</v>
      </c>
      <c r="T73" s="1614">
        <f>SUM(T70+T71)</f>
        <v>300</v>
      </c>
      <c r="U73" s="1612">
        <f t="shared" ref="U73:U82" si="58">V73+X73</f>
        <v>200</v>
      </c>
      <c r="V73" s="1613">
        <f>SUM(V70)</f>
        <v>0</v>
      </c>
      <c r="W73" s="1613">
        <f>SUM(W70)</f>
        <v>0</v>
      </c>
      <c r="X73" s="1614">
        <f>SUM(X70+X71)</f>
        <v>200</v>
      </c>
    </row>
    <row r="74" spans="1:24" s="1559" customFormat="1" ht="25.5" customHeight="1" thickBot="1" x14ac:dyDescent="0.25">
      <c r="A74" s="3352">
        <v>1</v>
      </c>
      <c r="B74" s="3337">
        <v>3</v>
      </c>
      <c r="C74" s="3345">
        <v>3</v>
      </c>
      <c r="D74" s="3304" t="s">
        <v>675</v>
      </c>
      <c r="E74" s="3347">
        <v>9</v>
      </c>
      <c r="F74" s="2159" t="s">
        <v>291</v>
      </c>
      <c r="G74" s="2159" t="s">
        <v>676</v>
      </c>
      <c r="H74" s="1615" t="s">
        <v>30</v>
      </c>
      <c r="I74" s="1565">
        <f t="shared" si="50"/>
        <v>34</v>
      </c>
      <c r="J74" s="2163"/>
      <c r="K74" s="2163"/>
      <c r="L74" s="1566">
        <v>34</v>
      </c>
      <c r="M74" s="1565"/>
      <c r="N74" s="2163"/>
      <c r="O74" s="2163"/>
      <c r="P74" s="1566"/>
      <c r="Q74" s="1565"/>
      <c r="R74" s="2163"/>
      <c r="S74" s="2163"/>
      <c r="T74" s="1566"/>
      <c r="U74" s="1565"/>
      <c r="V74" s="2163"/>
      <c r="W74" s="2163"/>
      <c r="X74" s="1566"/>
    </row>
    <row r="75" spans="1:24" s="1559" customFormat="1" ht="28.5" customHeight="1" thickBot="1" x14ac:dyDescent="0.25">
      <c r="A75" s="3353"/>
      <c r="B75" s="3354"/>
      <c r="C75" s="3394"/>
      <c r="D75" s="3372"/>
      <c r="E75" s="3373"/>
      <c r="F75" s="3349" t="s">
        <v>35</v>
      </c>
      <c r="G75" s="3350"/>
      <c r="H75" s="3351"/>
      <c r="I75" s="1567">
        <f t="shared" si="50"/>
        <v>34</v>
      </c>
      <c r="J75" s="1568">
        <f>SUM(J74:J74)</f>
        <v>0</v>
      </c>
      <c r="K75" s="1568">
        <f>SUM(K74:K74)</f>
        <v>0</v>
      </c>
      <c r="L75" s="1569">
        <f>SUM(L74:L74)</f>
        <v>34</v>
      </c>
      <c r="M75" s="1567">
        <f t="shared" si="51"/>
        <v>0</v>
      </c>
      <c r="N75" s="1568">
        <f>SUM(N74:N74)</f>
        <v>0</v>
      </c>
      <c r="O75" s="1568">
        <f>SUM(O74:O74)</f>
        <v>0</v>
      </c>
      <c r="P75" s="1569">
        <f>SUM(P74:P74)</f>
        <v>0</v>
      </c>
      <c r="Q75" s="1567">
        <f t="shared" si="54"/>
        <v>0</v>
      </c>
      <c r="R75" s="1568">
        <f>SUM(R74:R74)</f>
        <v>0</v>
      </c>
      <c r="S75" s="1568">
        <f>SUM(S74:S74)</f>
        <v>0</v>
      </c>
      <c r="T75" s="1569">
        <f>SUM(T74:T74)</f>
        <v>0</v>
      </c>
      <c r="U75" s="1567">
        <f t="shared" si="58"/>
        <v>0</v>
      </c>
      <c r="V75" s="1568">
        <f>SUM(V74:V74)</f>
        <v>0</v>
      </c>
      <c r="W75" s="1568">
        <f>SUM(W74:W74)</f>
        <v>0</v>
      </c>
      <c r="X75" s="1569">
        <f>SUM(X74:X74)</f>
        <v>0</v>
      </c>
    </row>
    <row r="76" spans="1:24" s="1559" customFormat="1" ht="19.5" customHeight="1" x14ac:dyDescent="0.2">
      <c r="A76" s="3352">
        <v>1</v>
      </c>
      <c r="B76" s="3337">
        <v>3</v>
      </c>
      <c r="C76" s="3345">
        <v>4</v>
      </c>
      <c r="D76" s="3395" t="s">
        <v>677</v>
      </c>
      <c r="E76" s="3347">
        <v>9</v>
      </c>
      <c r="F76" s="3401" t="s">
        <v>291</v>
      </c>
      <c r="G76" s="3348" t="s">
        <v>678</v>
      </c>
      <c r="H76" s="1977" t="s">
        <v>30</v>
      </c>
      <c r="I76" s="2180">
        <f t="shared" si="50"/>
        <v>272.60000000000002</v>
      </c>
      <c r="J76" s="2077">
        <v>41.7</v>
      </c>
      <c r="K76" s="2077">
        <v>0</v>
      </c>
      <c r="L76" s="2078">
        <v>230.9</v>
      </c>
      <c r="M76" s="1978">
        <f t="shared" si="51"/>
        <v>122.7</v>
      </c>
      <c r="N76" s="1979">
        <v>50</v>
      </c>
      <c r="O76" s="1979">
        <v>0</v>
      </c>
      <c r="P76" s="2010">
        <v>72.7</v>
      </c>
      <c r="Q76" s="2180">
        <f t="shared" si="54"/>
        <v>500</v>
      </c>
      <c r="R76" s="2178">
        <v>0</v>
      </c>
      <c r="S76" s="2178">
        <v>0</v>
      </c>
      <c r="T76" s="2179">
        <v>500</v>
      </c>
      <c r="U76" s="2180">
        <f t="shared" si="58"/>
        <v>500</v>
      </c>
      <c r="V76" s="2178">
        <v>0</v>
      </c>
      <c r="W76" s="2178">
        <v>0</v>
      </c>
      <c r="X76" s="2179">
        <v>500</v>
      </c>
    </row>
    <row r="77" spans="1:24" s="1559" customFormat="1" ht="19.5" customHeight="1" x14ac:dyDescent="0.2">
      <c r="A77" s="3396"/>
      <c r="B77" s="3338"/>
      <c r="C77" s="3339"/>
      <c r="D77" s="3340"/>
      <c r="E77" s="3341"/>
      <c r="F77" s="3402"/>
      <c r="G77" s="3342"/>
      <c r="H77" s="1564" t="s">
        <v>193</v>
      </c>
      <c r="I77" s="1565">
        <f t="shared" si="50"/>
        <v>300</v>
      </c>
      <c r="J77" s="2075"/>
      <c r="K77" s="2075">
        <v>0</v>
      </c>
      <c r="L77" s="2076">
        <v>300</v>
      </c>
      <c r="M77" s="1937">
        <f t="shared" si="51"/>
        <v>0</v>
      </c>
      <c r="N77" s="1938">
        <v>0</v>
      </c>
      <c r="O77" s="1938">
        <v>0</v>
      </c>
      <c r="P77" s="2005"/>
      <c r="Q77" s="1565">
        <f t="shared" si="54"/>
        <v>0</v>
      </c>
      <c r="R77" s="2163">
        <v>0</v>
      </c>
      <c r="S77" s="2163">
        <v>0</v>
      </c>
      <c r="T77" s="1566"/>
      <c r="U77" s="1565">
        <f t="shared" si="58"/>
        <v>0</v>
      </c>
      <c r="V77" s="2163">
        <v>0</v>
      </c>
      <c r="W77" s="2163">
        <v>0</v>
      </c>
      <c r="X77" s="1566"/>
    </row>
    <row r="78" spans="1:24" s="1559" customFormat="1" ht="19.5" customHeight="1" x14ac:dyDescent="0.2">
      <c r="A78" s="3396"/>
      <c r="B78" s="3338"/>
      <c r="C78" s="3339"/>
      <c r="D78" s="3340"/>
      <c r="E78" s="3341"/>
      <c r="F78" s="3402"/>
      <c r="G78" s="3342"/>
      <c r="H78" s="2151" t="s">
        <v>32</v>
      </c>
      <c r="I78" s="2174"/>
      <c r="J78" s="2172"/>
      <c r="K78" s="2172"/>
      <c r="L78" s="2173"/>
      <c r="M78" s="1980">
        <f t="shared" si="51"/>
        <v>115</v>
      </c>
      <c r="N78" s="1981"/>
      <c r="O78" s="1981"/>
      <c r="P78" s="2006">
        <v>115</v>
      </c>
      <c r="Q78" s="2174"/>
      <c r="R78" s="2172"/>
      <c r="S78" s="2172"/>
      <c r="T78" s="2173"/>
      <c r="U78" s="2174"/>
      <c r="V78" s="2172"/>
      <c r="W78" s="2172"/>
      <c r="X78" s="2173"/>
    </row>
    <row r="79" spans="1:24" s="1559" customFormat="1" ht="41.45" customHeight="1" x14ac:dyDescent="0.2">
      <c r="A79" s="3396"/>
      <c r="B79" s="3338"/>
      <c r="C79" s="3339"/>
      <c r="D79" s="3340"/>
      <c r="E79" s="3341"/>
      <c r="F79" s="3402"/>
      <c r="G79" s="3342"/>
      <c r="H79" s="1659" t="s">
        <v>634</v>
      </c>
      <c r="I79" s="1565"/>
      <c r="J79" s="2163"/>
      <c r="K79" s="2163"/>
      <c r="L79" s="1566"/>
      <c r="M79" s="1937">
        <f t="shared" si="51"/>
        <v>415</v>
      </c>
      <c r="N79" s="1938">
        <v>0</v>
      </c>
      <c r="O79" s="1938">
        <v>0</v>
      </c>
      <c r="P79" s="2005">
        <v>415</v>
      </c>
      <c r="Q79" s="1565"/>
      <c r="R79" s="2163"/>
      <c r="S79" s="2163"/>
      <c r="T79" s="1566"/>
      <c r="U79" s="1565"/>
      <c r="V79" s="2163"/>
      <c r="W79" s="2163"/>
      <c r="X79" s="1566"/>
    </row>
    <row r="80" spans="1:24" s="1559" customFormat="1" ht="18" customHeight="1" thickBot="1" x14ac:dyDescent="0.25">
      <c r="A80" s="3396"/>
      <c r="B80" s="3338"/>
      <c r="C80" s="3339"/>
      <c r="D80" s="3340"/>
      <c r="E80" s="3341"/>
      <c r="F80" s="3403"/>
      <c r="G80" s="3374"/>
      <c r="H80" s="2156" t="s">
        <v>116</v>
      </c>
      <c r="I80" s="1629"/>
      <c r="J80" s="2146"/>
      <c r="K80" s="2146"/>
      <c r="L80" s="1664"/>
      <c r="M80" s="1565">
        <f t="shared" si="51"/>
        <v>162.30000000000001</v>
      </c>
      <c r="N80" s="2145"/>
      <c r="O80" s="2145"/>
      <c r="P80" s="2048">
        <v>162.30000000000001</v>
      </c>
      <c r="Q80" s="1572"/>
      <c r="R80" s="2145"/>
      <c r="S80" s="2145"/>
      <c r="T80" s="2151"/>
      <c r="U80" s="1572"/>
      <c r="V80" s="2145"/>
      <c r="W80" s="2145"/>
      <c r="X80" s="1573"/>
    </row>
    <row r="81" spans="1:24" s="1559" customFormat="1" ht="30" customHeight="1" thickBot="1" x14ac:dyDescent="0.25">
      <c r="A81" s="3353"/>
      <c r="B81" s="3354"/>
      <c r="C81" s="3394"/>
      <c r="D81" s="3400"/>
      <c r="E81" s="3373"/>
      <c r="F81" s="3349" t="s">
        <v>35</v>
      </c>
      <c r="G81" s="3350"/>
      <c r="H81" s="3351"/>
      <c r="I81" s="1567">
        <f t="shared" si="50"/>
        <v>572.6</v>
      </c>
      <c r="J81" s="1568">
        <f>SUM(J76:J80)</f>
        <v>41.7</v>
      </c>
      <c r="K81" s="1568">
        <f t="shared" ref="K81:L81" si="59">SUM(K76:K80)</f>
        <v>0</v>
      </c>
      <c r="L81" s="1568">
        <f t="shared" si="59"/>
        <v>530.9</v>
      </c>
      <c r="M81" s="1567">
        <f t="shared" si="51"/>
        <v>815</v>
      </c>
      <c r="N81" s="1568">
        <f>SUM(N76:N80)</f>
        <v>50</v>
      </c>
      <c r="O81" s="1568">
        <f t="shared" ref="O81" si="60">SUM(O76:O80)</f>
        <v>0</v>
      </c>
      <c r="P81" s="1568">
        <f t="shared" ref="P81" si="61">SUM(P76:P80)</f>
        <v>765</v>
      </c>
      <c r="Q81" s="1567">
        <f t="shared" si="54"/>
        <v>500</v>
      </c>
      <c r="R81" s="1568">
        <f>SUM(R76:R80)</f>
        <v>0</v>
      </c>
      <c r="S81" s="1568">
        <f t="shared" ref="S81" si="62">SUM(S76:S80)</f>
        <v>0</v>
      </c>
      <c r="T81" s="1568">
        <f t="shared" ref="T81" si="63">SUM(T76:T80)</f>
        <v>500</v>
      </c>
      <c r="U81" s="1567">
        <f t="shared" si="58"/>
        <v>500</v>
      </c>
      <c r="V81" s="1568">
        <f>SUM(V76:V80)</f>
        <v>0</v>
      </c>
      <c r="W81" s="1568">
        <f t="shared" ref="W81" si="64">SUM(W76:W80)</f>
        <v>0</v>
      </c>
      <c r="X81" s="1569">
        <f t="shared" ref="X81" si="65">SUM(X76:X80)</f>
        <v>500</v>
      </c>
    </row>
    <row r="82" spans="1:24" s="1559" customFormat="1" ht="22.5" customHeight="1" x14ac:dyDescent="0.2">
      <c r="A82" s="3352">
        <v>1</v>
      </c>
      <c r="B82" s="3337">
        <v>3</v>
      </c>
      <c r="C82" s="3345">
        <v>5</v>
      </c>
      <c r="D82" s="3395" t="s">
        <v>679</v>
      </c>
      <c r="E82" s="3347">
        <v>9</v>
      </c>
      <c r="F82" s="3397" t="s">
        <v>291</v>
      </c>
      <c r="G82" s="3397" t="s">
        <v>680</v>
      </c>
      <c r="H82" s="1617" t="s">
        <v>30</v>
      </c>
      <c r="I82" s="1565">
        <f t="shared" si="50"/>
        <v>514.29999999999995</v>
      </c>
      <c r="J82" s="2075">
        <v>87.5</v>
      </c>
      <c r="K82" s="2075">
        <v>0</v>
      </c>
      <c r="L82" s="2076">
        <v>426.8</v>
      </c>
      <c r="M82" s="1565">
        <f t="shared" si="51"/>
        <v>0</v>
      </c>
      <c r="N82" s="2163">
        <v>0</v>
      </c>
      <c r="O82" s="2163">
        <v>0</v>
      </c>
      <c r="P82" s="2005"/>
      <c r="Q82" s="1565">
        <f t="shared" si="54"/>
        <v>500</v>
      </c>
      <c r="R82" s="2163">
        <v>0</v>
      </c>
      <c r="S82" s="2163">
        <v>0</v>
      </c>
      <c r="T82" s="1566">
        <v>500</v>
      </c>
      <c r="U82" s="1565">
        <f t="shared" si="58"/>
        <v>500</v>
      </c>
      <c r="V82" s="2163">
        <v>0</v>
      </c>
      <c r="W82" s="2163">
        <v>0</v>
      </c>
      <c r="X82" s="1566">
        <v>500</v>
      </c>
    </row>
    <row r="83" spans="1:24" s="1559" customFormat="1" ht="22.5" customHeight="1" x14ac:dyDescent="0.2">
      <c r="A83" s="3396"/>
      <c r="B83" s="3338"/>
      <c r="C83" s="3339"/>
      <c r="D83" s="3340"/>
      <c r="E83" s="3341"/>
      <c r="F83" s="3398"/>
      <c r="G83" s="3398"/>
      <c r="H83" s="1618" t="s">
        <v>681</v>
      </c>
      <c r="I83" s="1565">
        <f t="shared" si="50"/>
        <v>162.19999999999999</v>
      </c>
      <c r="J83" s="2075"/>
      <c r="K83" s="2075"/>
      <c r="L83" s="2076">
        <v>162.19999999999999</v>
      </c>
      <c r="M83" s="1565">
        <f t="shared" si="51"/>
        <v>120</v>
      </c>
      <c r="N83" s="2163">
        <v>100</v>
      </c>
      <c r="O83" s="2163"/>
      <c r="P83" s="2005">
        <v>20</v>
      </c>
      <c r="Q83" s="1565"/>
      <c r="R83" s="2163"/>
      <c r="S83" s="2163"/>
      <c r="T83" s="1566"/>
      <c r="U83" s="1565"/>
      <c r="V83" s="2163"/>
      <c r="W83" s="2163"/>
      <c r="X83" s="1566"/>
    </row>
    <row r="84" spans="1:24" s="1559" customFormat="1" ht="22.5" customHeight="1" x14ac:dyDescent="0.2">
      <c r="A84" s="3396"/>
      <c r="B84" s="3338"/>
      <c r="C84" s="3339"/>
      <c r="D84" s="3340"/>
      <c r="E84" s="3341"/>
      <c r="F84" s="3398"/>
      <c r="G84" s="3398"/>
      <c r="H84" s="1618" t="s">
        <v>412</v>
      </c>
      <c r="I84" s="1565"/>
      <c r="J84" s="2163"/>
      <c r="K84" s="2163"/>
      <c r="L84" s="1566"/>
      <c r="M84" s="1565">
        <f t="shared" si="51"/>
        <v>500</v>
      </c>
      <c r="N84" s="2163"/>
      <c r="O84" s="2163"/>
      <c r="P84" s="2005">
        <v>500</v>
      </c>
      <c r="Q84" s="1565"/>
      <c r="R84" s="2163"/>
      <c r="S84" s="2163"/>
      <c r="T84" s="1566"/>
      <c r="U84" s="1565"/>
      <c r="V84" s="2163"/>
      <c r="W84" s="2163"/>
      <c r="X84" s="1566"/>
    </row>
    <row r="85" spans="1:24" s="1559" customFormat="1" ht="21.75" customHeight="1" thickBot="1" x14ac:dyDescent="0.25">
      <c r="A85" s="3396"/>
      <c r="B85" s="3338"/>
      <c r="C85" s="3339"/>
      <c r="D85" s="3340"/>
      <c r="E85" s="3341"/>
      <c r="F85" s="3399"/>
      <c r="G85" s="3399"/>
      <c r="H85" s="1619" t="s">
        <v>665</v>
      </c>
      <c r="I85" s="1565">
        <f t="shared" si="50"/>
        <v>0</v>
      </c>
      <c r="J85" s="2163">
        <v>0</v>
      </c>
      <c r="K85" s="2163">
        <v>0</v>
      </c>
      <c r="L85" s="1566"/>
      <c r="M85" s="1565">
        <f t="shared" si="51"/>
        <v>200</v>
      </c>
      <c r="N85" s="2163">
        <v>0</v>
      </c>
      <c r="O85" s="2163">
        <v>0</v>
      </c>
      <c r="P85" s="1566">
        <v>200</v>
      </c>
      <c r="Q85" s="1565">
        <f t="shared" si="54"/>
        <v>200</v>
      </c>
      <c r="R85" s="2163">
        <v>0</v>
      </c>
      <c r="S85" s="2163">
        <v>0</v>
      </c>
      <c r="T85" s="1566">
        <v>200</v>
      </c>
      <c r="U85" s="1565">
        <f t="shared" ref="U85:U87" si="66">V85+X85</f>
        <v>300</v>
      </c>
      <c r="V85" s="2163">
        <v>0</v>
      </c>
      <c r="W85" s="2163">
        <v>0</v>
      </c>
      <c r="X85" s="1566">
        <v>300</v>
      </c>
    </row>
    <row r="86" spans="1:24" s="1559" customFormat="1" ht="12" thickBot="1" x14ac:dyDescent="0.25">
      <c r="A86" s="3353"/>
      <c r="B86" s="3354"/>
      <c r="C86" s="3339"/>
      <c r="D86" s="3340"/>
      <c r="E86" s="3341"/>
      <c r="F86" s="3349" t="s">
        <v>35</v>
      </c>
      <c r="G86" s="3350"/>
      <c r="H86" s="3351"/>
      <c r="I86" s="1567">
        <f t="shared" si="50"/>
        <v>676.5</v>
      </c>
      <c r="J86" s="1568">
        <f>SUM(J82:J85)</f>
        <v>87.5</v>
      </c>
      <c r="K86" s="1568">
        <f t="shared" ref="K86:L86" si="67">SUM(K82:K85)</f>
        <v>0</v>
      </c>
      <c r="L86" s="1569">
        <f t="shared" si="67"/>
        <v>589</v>
      </c>
      <c r="M86" s="1567">
        <f t="shared" si="51"/>
        <v>820</v>
      </c>
      <c r="N86" s="1568">
        <f>SUM(N82:N85)</f>
        <v>100</v>
      </c>
      <c r="O86" s="1568">
        <f t="shared" ref="O86:P86" si="68">SUM(O82:O85)</f>
        <v>0</v>
      </c>
      <c r="P86" s="1569">
        <f t="shared" si="68"/>
        <v>720</v>
      </c>
      <c r="Q86" s="1567">
        <f t="shared" si="54"/>
        <v>700</v>
      </c>
      <c r="R86" s="1568">
        <f>SUM(R82:R85)</f>
        <v>0</v>
      </c>
      <c r="S86" s="1568">
        <f t="shared" ref="S86:T86" si="69">SUM(S82:S85)</f>
        <v>0</v>
      </c>
      <c r="T86" s="1569">
        <f t="shared" si="69"/>
        <v>700</v>
      </c>
      <c r="U86" s="1567">
        <f t="shared" si="66"/>
        <v>800</v>
      </c>
      <c r="V86" s="1568">
        <f>SUM(V82:V85)</f>
        <v>0</v>
      </c>
      <c r="W86" s="1568">
        <f t="shared" ref="W86:X86" si="70">SUM(W82:W85)</f>
        <v>0</v>
      </c>
      <c r="X86" s="1569">
        <f t="shared" si="70"/>
        <v>800</v>
      </c>
    </row>
    <row r="87" spans="1:24" s="1559" customFormat="1" ht="26.25" customHeight="1" x14ac:dyDescent="0.2">
      <c r="A87" s="3352">
        <v>1</v>
      </c>
      <c r="B87" s="3337">
        <v>3</v>
      </c>
      <c r="C87" s="3345">
        <v>6</v>
      </c>
      <c r="D87" s="3304" t="s">
        <v>682</v>
      </c>
      <c r="E87" s="3347">
        <v>9</v>
      </c>
      <c r="F87" s="3397" t="s">
        <v>291</v>
      </c>
      <c r="G87" s="3397" t="s">
        <v>683</v>
      </c>
      <c r="H87" s="1620" t="s">
        <v>30</v>
      </c>
      <c r="I87" s="1565">
        <f t="shared" si="50"/>
        <v>129.80000000000001</v>
      </c>
      <c r="J87" s="2163">
        <v>0</v>
      </c>
      <c r="K87" s="2163">
        <v>0</v>
      </c>
      <c r="L87" s="1566">
        <v>129.80000000000001</v>
      </c>
      <c r="M87" s="1565">
        <f t="shared" si="51"/>
        <v>50</v>
      </c>
      <c r="N87" s="2163">
        <v>0</v>
      </c>
      <c r="O87" s="2163">
        <v>0</v>
      </c>
      <c r="P87" s="2005">
        <v>50</v>
      </c>
      <c r="Q87" s="1565">
        <f t="shared" si="54"/>
        <v>200</v>
      </c>
      <c r="R87" s="2163">
        <v>0</v>
      </c>
      <c r="S87" s="2163">
        <v>0</v>
      </c>
      <c r="T87" s="1566">
        <v>200</v>
      </c>
      <c r="U87" s="1565">
        <f t="shared" si="66"/>
        <v>200</v>
      </c>
      <c r="V87" s="2163">
        <v>0</v>
      </c>
      <c r="W87" s="2163">
        <v>0</v>
      </c>
      <c r="X87" s="1566">
        <v>200</v>
      </c>
    </row>
    <row r="88" spans="1:24" s="1559" customFormat="1" ht="26.25" customHeight="1" x14ac:dyDescent="0.2">
      <c r="A88" s="3396"/>
      <c r="B88" s="3338"/>
      <c r="C88" s="3339"/>
      <c r="D88" s="3346"/>
      <c r="E88" s="3341"/>
      <c r="F88" s="3398"/>
      <c r="G88" s="3398"/>
      <c r="H88" s="1621" t="s">
        <v>634</v>
      </c>
      <c r="I88" s="1565"/>
      <c r="J88" s="2163"/>
      <c r="K88" s="2163"/>
      <c r="L88" s="1566"/>
      <c r="M88" s="1565">
        <f t="shared" si="51"/>
        <v>150</v>
      </c>
      <c r="N88" s="2163"/>
      <c r="O88" s="2163"/>
      <c r="P88" s="2005">
        <v>150</v>
      </c>
      <c r="Q88" s="1565"/>
      <c r="R88" s="2163"/>
      <c r="S88" s="2163"/>
      <c r="T88" s="1566"/>
      <c r="U88" s="1565"/>
      <c r="V88" s="2163"/>
      <c r="W88" s="2163"/>
      <c r="X88" s="1566"/>
    </row>
    <row r="89" spans="1:24" s="1559" customFormat="1" ht="26.25" customHeight="1" thickBot="1" x14ac:dyDescent="0.25">
      <c r="A89" s="3396"/>
      <c r="B89" s="3338"/>
      <c r="C89" s="3339"/>
      <c r="D89" s="3346"/>
      <c r="E89" s="3341"/>
      <c r="F89" s="3398"/>
      <c r="G89" s="3398"/>
      <c r="H89" s="1616" t="s">
        <v>202</v>
      </c>
      <c r="I89" s="1565">
        <f t="shared" ref="I89:I91" si="71">J89+L89</f>
        <v>300</v>
      </c>
      <c r="J89" s="2163">
        <v>0</v>
      </c>
      <c r="K89" s="2163">
        <v>0</v>
      </c>
      <c r="L89" s="1566">
        <v>300</v>
      </c>
      <c r="M89" s="1565">
        <f t="shared" si="51"/>
        <v>200</v>
      </c>
      <c r="N89" s="2163">
        <v>0</v>
      </c>
      <c r="O89" s="2163">
        <v>0</v>
      </c>
      <c r="P89" s="1566">
        <v>200</v>
      </c>
      <c r="Q89" s="1565">
        <f t="shared" ref="Q89:Q95" si="72">R89+T89</f>
        <v>200</v>
      </c>
      <c r="R89" s="2163">
        <v>0</v>
      </c>
      <c r="S89" s="2163">
        <v>0</v>
      </c>
      <c r="T89" s="1566">
        <v>200</v>
      </c>
      <c r="U89" s="1565">
        <f t="shared" ref="U89:U90" si="73">V89+X89</f>
        <v>200</v>
      </c>
      <c r="V89" s="2163">
        <v>0</v>
      </c>
      <c r="W89" s="2163">
        <v>0</v>
      </c>
      <c r="X89" s="1566">
        <v>200</v>
      </c>
    </row>
    <row r="90" spans="1:24" s="1559" customFormat="1" ht="27" customHeight="1" thickBot="1" x14ac:dyDescent="0.25">
      <c r="A90" s="3353"/>
      <c r="B90" s="3354"/>
      <c r="C90" s="3394"/>
      <c r="D90" s="3372"/>
      <c r="E90" s="3373"/>
      <c r="F90" s="3349" t="s">
        <v>35</v>
      </c>
      <c r="G90" s="3350"/>
      <c r="H90" s="3351"/>
      <c r="I90" s="1567">
        <f t="shared" si="71"/>
        <v>429.8</v>
      </c>
      <c r="J90" s="1568">
        <f>SUM(J87:J89)</f>
        <v>0</v>
      </c>
      <c r="K90" s="1568">
        <f>SUM(K87:K89)</f>
        <v>0</v>
      </c>
      <c r="L90" s="1569">
        <f>SUM(L87:L89)</f>
        <v>429.8</v>
      </c>
      <c r="M90" s="1567">
        <f t="shared" si="51"/>
        <v>400</v>
      </c>
      <c r="N90" s="1568">
        <f>SUM(N87:N89)</f>
        <v>0</v>
      </c>
      <c r="O90" s="1568">
        <f>SUM(O87:O89)</f>
        <v>0</v>
      </c>
      <c r="P90" s="1569">
        <f>SUM(P87:P89)</f>
        <v>400</v>
      </c>
      <c r="Q90" s="1567">
        <f t="shared" si="72"/>
        <v>400</v>
      </c>
      <c r="R90" s="1568">
        <f>SUM(R87:R89)</f>
        <v>0</v>
      </c>
      <c r="S90" s="1568">
        <f>SUM(S87:S89)</f>
        <v>0</v>
      </c>
      <c r="T90" s="1569">
        <f>SUM(T87:T89)</f>
        <v>400</v>
      </c>
      <c r="U90" s="1567">
        <f t="shared" si="73"/>
        <v>400</v>
      </c>
      <c r="V90" s="1568">
        <f>SUM(V87:V89)</f>
        <v>0</v>
      </c>
      <c r="W90" s="1568">
        <f>SUM(W87:W89)</f>
        <v>0</v>
      </c>
      <c r="X90" s="1569">
        <f>SUM(X87:X89)</f>
        <v>400</v>
      </c>
    </row>
    <row r="91" spans="1:24" s="1559" customFormat="1" ht="18.75" customHeight="1" x14ac:dyDescent="0.2">
      <c r="A91" s="3352">
        <v>1</v>
      </c>
      <c r="B91" s="3337">
        <v>3</v>
      </c>
      <c r="C91" s="3345">
        <v>7</v>
      </c>
      <c r="D91" s="3355" t="s">
        <v>684</v>
      </c>
      <c r="E91" s="3347">
        <v>9</v>
      </c>
      <c r="F91" s="3397" t="s">
        <v>291</v>
      </c>
      <c r="G91" s="3397" t="s">
        <v>685</v>
      </c>
      <c r="H91" s="1622" t="s">
        <v>665</v>
      </c>
      <c r="I91" s="1565">
        <f t="shared" si="71"/>
        <v>514.9</v>
      </c>
      <c r="J91" s="2163">
        <v>0</v>
      </c>
      <c r="K91" s="2163">
        <v>0</v>
      </c>
      <c r="L91" s="2005">
        <v>514.9</v>
      </c>
      <c r="M91" s="1565">
        <f t="shared" si="51"/>
        <v>20</v>
      </c>
      <c r="N91" s="2163">
        <v>0</v>
      </c>
      <c r="O91" s="2163">
        <v>0</v>
      </c>
      <c r="P91" s="1566">
        <v>20</v>
      </c>
      <c r="Q91" s="1565"/>
      <c r="R91" s="2163"/>
      <c r="S91" s="2163"/>
      <c r="T91" s="1566"/>
      <c r="U91" s="1565"/>
      <c r="V91" s="2163"/>
      <c r="W91" s="2163"/>
      <c r="X91" s="1566"/>
    </row>
    <row r="92" spans="1:24" s="1559" customFormat="1" ht="18" customHeight="1" thickBot="1" x14ac:dyDescent="0.25">
      <c r="A92" s="3396"/>
      <c r="B92" s="3338"/>
      <c r="C92" s="3339"/>
      <c r="D92" s="3356"/>
      <c r="E92" s="3341"/>
      <c r="F92" s="3399"/>
      <c r="G92" s="3399"/>
      <c r="H92" s="1616" t="s">
        <v>30</v>
      </c>
      <c r="I92" s="1572">
        <v>20</v>
      </c>
      <c r="J92" s="2145"/>
      <c r="K92" s="2145"/>
      <c r="L92" s="2014">
        <v>12.1</v>
      </c>
      <c r="M92" s="1572">
        <f>N92+P92</f>
        <v>3</v>
      </c>
      <c r="N92" s="2145"/>
      <c r="O92" s="2145">
        <v>0</v>
      </c>
      <c r="P92" s="1573">
        <v>3</v>
      </c>
      <c r="Q92" s="1572"/>
      <c r="R92" s="2145"/>
      <c r="S92" s="2145"/>
      <c r="T92" s="1573"/>
      <c r="U92" s="1572"/>
      <c r="V92" s="2145"/>
      <c r="W92" s="2145"/>
      <c r="X92" s="1573"/>
    </row>
    <row r="93" spans="1:24" s="1559" customFormat="1" ht="18" customHeight="1" thickBot="1" x14ac:dyDescent="0.25">
      <c r="A93" s="3353"/>
      <c r="B93" s="3354"/>
      <c r="C93" s="3339"/>
      <c r="D93" s="3356"/>
      <c r="E93" s="3341"/>
      <c r="F93" s="3349" t="s">
        <v>35</v>
      </c>
      <c r="G93" s="3350"/>
      <c r="H93" s="3351"/>
      <c r="I93" s="1567">
        <f>J93+L93</f>
        <v>527</v>
      </c>
      <c r="J93" s="1568">
        <f>SUM(J91:J92)</f>
        <v>0</v>
      </c>
      <c r="K93" s="1568">
        <f>SUM(K91:K92)</f>
        <v>0</v>
      </c>
      <c r="L93" s="1569">
        <f>SUM(L91:L92)</f>
        <v>527</v>
      </c>
      <c r="M93" s="1567">
        <f t="shared" si="51"/>
        <v>23</v>
      </c>
      <c r="N93" s="1568">
        <f>SUM(N91:N92)</f>
        <v>0</v>
      </c>
      <c r="O93" s="1568">
        <f>SUM(O91:O92)</f>
        <v>0</v>
      </c>
      <c r="P93" s="1568">
        <f>SUM(P91:P92)</f>
        <v>23</v>
      </c>
      <c r="Q93" s="1567">
        <f t="shared" si="72"/>
        <v>0</v>
      </c>
      <c r="R93" s="1568">
        <f>SUM(R91)</f>
        <v>0</v>
      </c>
      <c r="S93" s="1568">
        <f>SUM(S91)</f>
        <v>0</v>
      </c>
      <c r="T93" s="1569">
        <f>SUM(T91)</f>
        <v>0</v>
      </c>
      <c r="U93" s="1567">
        <f t="shared" ref="U93:U95" si="74">V93+X93</f>
        <v>0</v>
      </c>
      <c r="V93" s="1568">
        <f>SUM(V91)</f>
        <v>0</v>
      </c>
      <c r="W93" s="1568">
        <f>SUM(W91)</f>
        <v>0</v>
      </c>
      <c r="X93" s="1569">
        <f>SUM(X91)</f>
        <v>0</v>
      </c>
    </row>
    <row r="94" spans="1:24" s="1559" customFormat="1" ht="45.75" customHeight="1" thickBot="1" x14ac:dyDescent="0.25">
      <c r="A94" s="3352">
        <v>1</v>
      </c>
      <c r="B94" s="3337">
        <v>3</v>
      </c>
      <c r="C94" s="3345">
        <v>8</v>
      </c>
      <c r="D94" s="3304" t="s">
        <v>686</v>
      </c>
      <c r="E94" s="3347">
        <v>9</v>
      </c>
      <c r="F94" s="2146" t="s">
        <v>291</v>
      </c>
      <c r="G94" s="2145" t="s">
        <v>687</v>
      </c>
      <c r="H94" s="1619" t="s">
        <v>30</v>
      </c>
      <c r="I94" s="1565">
        <f t="shared" ref="I94" si="75">J94+L94</f>
        <v>0</v>
      </c>
      <c r="J94" s="2163"/>
      <c r="K94" s="2163"/>
      <c r="L94" s="2005"/>
      <c r="M94" s="1565">
        <f t="shared" si="51"/>
        <v>50</v>
      </c>
      <c r="N94" s="2163"/>
      <c r="O94" s="2163"/>
      <c r="P94" s="1566">
        <v>50</v>
      </c>
      <c r="Q94" s="1565">
        <f t="shared" si="72"/>
        <v>400</v>
      </c>
      <c r="R94" s="2163"/>
      <c r="S94" s="2163"/>
      <c r="T94" s="1566">
        <v>400</v>
      </c>
      <c r="U94" s="1565">
        <f t="shared" si="74"/>
        <v>300</v>
      </c>
      <c r="V94" s="2163"/>
      <c r="W94" s="2163"/>
      <c r="X94" s="1566">
        <v>300</v>
      </c>
    </row>
    <row r="95" spans="1:24" s="1559" customFormat="1" ht="45.75" customHeight="1" thickBot="1" x14ac:dyDescent="0.25">
      <c r="A95" s="3353"/>
      <c r="B95" s="3354"/>
      <c r="C95" s="3339"/>
      <c r="D95" s="3346"/>
      <c r="E95" s="3373"/>
      <c r="F95" s="3349" t="s">
        <v>35</v>
      </c>
      <c r="G95" s="3350"/>
      <c r="H95" s="3351"/>
      <c r="I95" s="1567">
        <f>J95+L95</f>
        <v>0</v>
      </c>
      <c r="J95" s="1568">
        <f>SUM(J94)</f>
        <v>0</v>
      </c>
      <c r="K95" s="1568">
        <f>SUM(K94)</f>
        <v>0</v>
      </c>
      <c r="L95" s="1569">
        <f>SUM(L94)</f>
        <v>0</v>
      </c>
      <c r="M95" s="1567">
        <f t="shared" si="51"/>
        <v>50</v>
      </c>
      <c r="N95" s="1568">
        <f>SUM(N94)</f>
        <v>0</v>
      </c>
      <c r="O95" s="1568">
        <f>SUM(O94)</f>
        <v>0</v>
      </c>
      <c r="P95" s="1569">
        <f>SUM(P94)</f>
        <v>50</v>
      </c>
      <c r="Q95" s="1567">
        <f t="shared" si="72"/>
        <v>400</v>
      </c>
      <c r="R95" s="1568">
        <f>SUM(R94)</f>
        <v>0</v>
      </c>
      <c r="S95" s="1568">
        <f>SUM(S94)</f>
        <v>0</v>
      </c>
      <c r="T95" s="1569">
        <f>SUM(T94)</f>
        <v>400</v>
      </c>
      <c r="U95" s="1567">
        <f t="shared" si="74"/>
        <v>300</v>
      </c>
      <c r="V95" s="1568">
        <f>SUM(V94)</f>
        <v>0</v>
      </c>
      <c r="W95" s="1568">
        <f>SUM(W94)</f>
        <v>0</v>
      </c>
      <c r="X95" s="1569">
        <f>SUM(X94)</f>
        <v>300</v>
      </c>
    </row>
    <row r="96" spans="1:24" s="1626" customFormat="1" ht="12.75" customHeight="1" x14ac:dyDescent="0.2">
      <c r="A96" s="3412">
        <v>1</v>
      </c>
      <c r="B96" s="3415">
        <v>3</v>
      </c>
      <c r="C96" s="3418">
        <v>9</v>
      </c>
      <c r="D96" s="3420" t="s">
        <v>688</v>
      </c>
      <c r="E96" s="3347">
        <v>9</v>
      </c>
      <c r="F96" s="3404" t="s">
        <v>291</v>
      </c>
      <c r="G96" s="3404" t="s">
        <v>689</v>
      </c>
      <c r="H96" s="1623" t="s">
        <v>30</v>
      </c>
      <c r="I96" s="2180">
        <f>J96+L96</f>
        <v>124.6</v>
      </c>
      <c r="J96" s="2061">
        <v>4.5999999999999996</v>
      </c>
      <c r="K96" s="2058"/>
      <c r="L96" s="2062">
        <v>120</v>
      </c>
      <c r="M96" s="1624">
        <f>N96+P96</f>
        <v>100</v>
      </c>
      <c r="N96" s="1624"/>
      <c r="O96" s="2163"/>
      <c r="P96" s="1625">
        <v>100</v>
      </c>
      <c r="Q96" s="1624"/>
      <c r="R96" s="1624"/>
      <c r="S96" s="2163"/>
      <c r="T96" s="1625"/>
      <c r="U96" s="1624"/>
      <c r="V96" s="1624"/>
      <c r="W96" s="2163"/>
      <c r="X96" s="1625"/>
    </row>
    <row r="97" spans="1:71" s="1626" customFormat="1" ht="12.75" customHeight="1" x14ac:dyDescent="0.2">
      <c r="A97" s="3413"/>
      <c r="B97" s="3416"/>
      <c r="C97" s="3405"/>
      <c r="D97" s="3421"/>
      <c r="E97" s="3341"/>
      <c r="F97" s="3405"/>
      <c r="G97" s="3405"/>
      <c r="H97" s="1623" t="s">
        <v>116</v>
      </c>
      <c r="I97" s="1565"/>
      <c r="J97" s="2063"/>
      <c r="K97" s="2059"/>
      <c r="L97" s="2064"/>
      <c r="M97" s="1624"/>
      <c r="N97" s="1624"/>
      <c r="O97" s="2163"/>
      <c r="P97" s="1625"/>
      <c r="Q97" s="1624"/>
      <c r="R97" s="1624"/>
      <c r="S97" s="2163"/>
      <c r="T97" s="1625"/>
      <c r="U97" s="1624"/>
      <c r="V97" s="1624"/>
      <c r="W97" s="2163"/>
      <c r="X97" s="1625"/>
    </row>
    <row r="98" spans="1:71" s="1626" customFormat="1" ht="12.75" customHeight="1" x14ac:dyDescent="0.2">
      <c r="A98" s="3413"/>
      <c r="B98" s="3416"/>
      <c r="C98" s="3405"/>
      <c r="D98" s="3421"/>
      <c r="E98" s="3341"/>
      <c r="F98" s="3405"/>
      <c r="G98" s="3405"/>
      <c r="H98" s="1623" t="s">
        <v>112</v>
      </c>
      <c r="I98" s="1565">
        <v>69.900000000000006</v>
      </c>
      <c r="J98" s="1624">
        <v>0.1</v>
      </c>
      <c r="K98" s="2163"/>
      <c r="L98" s="1625">
        <v>33.1</v>
      </c>
      <c r="M98" s="1624">
        <f>N98+P98</f>
        <v>36.299999999999997</v>
      </c>
      <c r="N98" s="1624"/>
      <c r="O98" s="2163"/>
      <c r="P98" s="1625">
        <v>36.299999999999997</v>
      </c>
      <c r="Q98" s="1624"/>
      <c r="R98" s="1624"/>
      <c r="S98" s="2163"/>
      <c r="T98" s="1625"/>
      <c r="U98" s="1624"/>
      <c r="V98" s="1624"/>
      <c r="W98" s="2163"/>
      <c r="X98" s="1625"/>
    </row>
    <row r="99" spans="1:71" s="1626" customFormat="1" ht="12.75" customHeight="1" thickBot="1" x14ac:dyDescent="0.25">
      <c r="A99" s="3413"/>
      <c r="B99" s="3416"/>
      <c r="C99" s="3405"/>
      <c r="D99" s="3421"/>
      <c r="E99" s="3341"/>
      <c r="F99" s="3406"/>
      <c r="G99" s="3406"/>
      <c r="H99" s="1627" t="s">
        <v>111</v>
      </c>
      <c r="I99" s="1628">
        <f>SUM(J99,L99)</f>
        <v>376.9</v>
      </c>
      <c r="J99" s="1629">
        <v>1.4</v>
      </c>
      <c r="K99" s="2146"/>
      <c r="L99" s="1630">
        <v>375.5</v>
      </c>
      <c r="M99" s="1624">
        <f>N99+P99</f>
        <v>256.93200000000002</v>
      </c>
      <c r="N99" s="1624"/>
      <c r="O99" s="2163"/>
      <c r="P99" s="1625">
        <v>256.93200000000002</v>
      </c>
      <c r="Q99" s="1624"/>
      <c r="R99" s="1624"/>
      <c r="S99" s="2163"/>
      <c r="T99" s="1625"/>
      <c r="U99" s="1624"/>
      <c r="V99" s="1624"/>
      <c r="W99" s="2163"/>
      <c r="X99" s="1625"/>
    </row>
    <row r="100" spans="1:71" s="1632" customFormat="1" ht="12.75" customHeight="1" thickBot="1" x14ac:dyDescent="0.25">
      <c r="A100" s="3414"/>
      <c r="B100" s="3417"/>
      <c r="C100" s="3419"/>
      <c r="D100" s="3422"/>
      <c r="E100" s="3373"/>
      <c r="F100" s="3407" t="s">
        <v>35</v>
      </c>
      <c r="G100" s="3408"/>
      <c r="H100" s="3409"/>
      <c r="I100" s="1631">
        <f>SUM(J100,L100)</f>
        <v>534.70000000000005</v>
      </c>
      <c r="J100" s="1590">
        <f>SUM(J96:J99)</f>
        <v>6.1</v>
      </c>
      <c r="K100" s="1590">
        <f>SUM(K96:K99)</f>
        <v>0</v>
      </c>
      <c r="L100" s="1591">
        <f>SUM(L96:L99)</f>
        <v>528.6</v>
      </c>
      <c r="M100" s="1631">
        <f>SUM(N100,P100)</f>
        <v>393.23200000000003</v>
      </c>
      <c r="N100" s="1590">
        <f>SUM(N96:N99)</f>
        <v>0</v>
      </c>
      <c r="O100" s="1590">
        <f>SUM(O96:O99)</f>
        <v>0</v>
      </c>
      <c r="P100" s="1591">
        <f>SUM(P96:P99)</f>
        <v>393.23200000000003</v>
      </c>
      <c r="Q100" s="1631">
        <f>SUM(R100,T100)</f>
        <v>0</v>
      </c>
      <c r="R100" s="1590">
        <f>SUM(R96:R99)</f>
        <v>0</v>
      </c>
      <c r="S100" s="1590">
        <f>SUM(S96:S99)</f>
        <v>0</v>
      </c>
      <c r="T100" s="1591">
        <f>SUM(T96:T99)</f>
        <v>0</v>
      </c>
      <c r="U100" s="1631">
        <f>SUM(V100,X100)</f>
        <v>0</v>
      </c>
      <c r="V100" s="1590">
        <f>SUM(V96:V99)</f>
        <v>0</v>
      </c>
      <c r="W100" s="1590">
        <f>SUM(W96:W99)</f>
        <v>0</v>
      </c>
      <c r="X100" s="1591">
        <f>SUM(X96:X99)</f>
        <v>0</v>
      </c>
      <c r="Y100" s="1626"/>
      <c r="Z100" s="1626"/>
      <c r="AA100" s="1626"/>
      <c r="AB100" s="1626"/>
      <c r="AC100" s="1626"/>
      <c r="AD100" s="1626"/>
      <c r="AE100" s="1626"/>
      <c r="AF100" s="1626"/>
      <c r="AG100" s="1626"/>
      <c r="AH100" s="1626"/>
      <c r="AI100" s="1626"/>
      <c r="AJ100" s="1626"/>
      <c r="AK100" s="1626"/>
      <c r="AL100" s="1626"/>
      <c r="AM100" s="1626"/>
      <c r="AN100" s="1626"/>
      <c r="AO100" s="1626"/>
      <c r="AP100" s="1626"/>
      <c r="AQ100" s="1626"/>
      <c r="AR100" s="1626"/>
      <c r="AS100" s="1626"/>
      <c r="AT100" s="1626"/>
      <c r="AU100" s="1626"/>
      <c r="AV100" s="1626"/>
      <c r="AW100" s="1626"/>
      <c r="AX100" s="1626"/>
      <c r="AY100" s="1626"/>
      <c r="AZ100" s="1626"/>
      <c r="BA100" s="1626"/>
      <c r="BB100" s="1626"/>
      <c r="BC100" s="1626"/>
      <c r="BD100" s="1626"/>
      <c r="BE100" s="1626"/>
      <c r="BF100" s="1626"/>
      <c r="BG100" s="1626"/>
      <c r="BH100" s="1626"/>
      <c r="BI100" s="1626"/>
      <c r="BJ100" s="1626"/>
      <c r="BK100" s="1626"/>
      <c r="BL100" s="1626"/>
      <c r="BM100" s="1626"/>
      <c r="BN100" s="1626"/>
      <c r="BO100" s="1626"/>
      <c r="BP100" s="1626"/>
      <c r="BQ100" s="1626"/>
      <c r="BR100" s="1626"/>
      <c r="BS100" s="1626"/>
    </row>
    <row r="101" spans="1:71" s="1559" customFormat="1" ht="18.75" customHeight="1" x14ac:dyDescent="0.2">
      <c r="A101" s="3352">
        <v>1</v>
      </c>
      <c r="B101" s="3337">
        <v>3</v>
      </c>
      <c r="C101" s="3345">
        <v>10</v>
      </c>
      <c r="D101" s="3304" t="s">
        <v>690</v>
      </c>
      <c r="E101" s="3347">
        <v>9</v>
      </c>
      <c r="F101" s="3397" t="s">
        <v>291</v>
      </c>
      <c r="G101" s="3410" t="s">
        <v>691</v>
      </c>
      <c r="H101" s="1617" t="s">
        <v>30</v>
      </c>
      <c r="I101" s="1565">
        <f t="shared" ref="I101:I102" si="76">SUM(J101,L101)</f>
        <v>0</v>
      </c>
      <c r="J101" s="2163"/>
      <c r="K101" s="2163"/>
      <c r="L101" s="1600"/>
      <c r="M101" s="1565">
        <f t="shared" ref="M101:M102" si="77">SUM(N101,P101)</f>
        <v>40</v>
      </c>
      <c r="N101" s="2163"/>
      <c r="O101" s="2163"/>
      <c r="P101" s="1566">
        <v>40</v>
      </c>
      <c r="Q101" s="1565"/>
      <c r="R101" s="2163"/>
      <c r="S101" s="2163"/>
      <c r="T101" s="1566"/>
      <c r="U101" s="1565"/>
      <c r="V101" s="2163"/>
      <c r="W101" s="2163"/>
      <c r="X101" s="1566"/>
    </row>
    <row r="102" spans="1:71" s="1559" customFormat="1" ht="19.5" customHeight="1" thickBot="1" x14ac:dyDescent="0.25">
      <c r="A102" s="3396"/>
      <c r="B102" s="3338"/>
      <c r="C102" s="3339"/>
      <c r="D102" s="3346"/>
      <c r="E102" s="3341"/>
      <c r="F102" s="3399"/>
      <c r="G102" s="3411"/>
      <c r="H102" s="1619" t="s">
        <v>111</v>
      </c>
      <c r="I102" s="1565">
        <f t="shared" si="76"/>
        <v>0</v>
      </c>
      <c r="J102" s="2163"/>
      <c r="K102" s="2163"/>
      <c r="L102" s="1566"/>
      <c r="M102" s="1565">
        <f t="shared" si="77"/>
        <v>18.7</v>
      </c>
      <c r="N102" s="2163"/>
      <c r="O102" s="2163"/>
      <c r="P102" s="1566">
        <v>18.7</v>
      </c>
      <c r="Q102" s="1565"/>
      <c r="R102" s="2163"/>
      <c r="S102" s="2163"/>
      <c r="T102" s="1566"/>
      <c r="U102" s="1565"/>
      <c r="V102" s="2163"/>
      <c r="W102" s="2163"/>
      <c r="X102" s="1566"/>
    </row>
    <row r="103" spans="1:71" s="1559" customFormat="1" ht="27" customHeight="1" thickBot="1" x14ac:dyDescent="0.25">
      <c r="A103" s="3353"/>
      <c r="B103" s="3354"/>
      <c r="C103" s="3339"/>
      <c r="D103" s="3346"/>
      <c r="E103" s="3341"/>
      <c r="F103" s="3349" t="s">
        <v>35</v>
      </c>
      <c r="G103" s="3350"/>
      <c r="H103" s="3351"/>
      <c r="I103" s="1567">
        <f>J103+L103</f>
        <v>0</v>
      </c>
      <c r="J103" s="1568">
        <f>SUM(J101)</f>
        <v>0</v>
      </c>
      <c r="K103" s="1568">
        <f>SUM(K101)</f>
        <v>0</v>
      </c>
      <c r="L103" s="1569">
        <f>SUM(L101+L102)</f>
        <v>0</v>
      </c>
      <c r="M103" s="1567">
        <f>N103+P103</f>
        <v>58.7</v>
      </c>
      <c r="N103" s="1633">
        <f t="shared" ref="N103:O103" si="78">N101+N102</f>
        <v>0</v>
      </c>
      <c r="O103" s="1633">
        <f t="shared" si="78"/>
        <v>0</v>
      </c>
      <c r="P103" s="1569">
        <f>P101+P102</f>
        <v>58.7</v>
      </c>
      <c r="Q103" s="1567">
        <f>R103+T103</f>
        <v>0</v>
      </c>
      <c r="R103" s="1633">
        <f t="shared" ref="R103:S103" si="79">R101+R102</f>
        <v>0</v>
      </c>
      <c r="S103" s="1633">
        <f t="shared" si="79"/>
        <v>0</v>
      </c>
      <c r="T103" s="1569">
        <f>T101+T102</f>
        <v>0</v>
      </c>
      <c r="U103" s="1567">
        <f>V103+X103</f>
        <v>0</v>
      </c>
      <c r="V103" s="1633">
        <f t="shared" ref="V103:W103" si="80">V101+V102</f>
        <v>0</v>
      </c>
      <c r="W103" s="1633">
        <f t="shared" si="80"/>
        <v>0</v>
      </c>
      <c r="X103" s="1569">
        <f>X101+X102</f>
        <v>0</v>
      </c>
    </row>
    <row r="104" spans="1:71" s="1626" customFormat="1" ht="15.75" customHeight="1" x14ac:dyDescent="0.2">
      <c r="A104" s="3412">
        <v>1</v>
      </c>
      <c r="B104" s="3415">
        <v>3</v>
      </c>
      <c r="C104" s="3418">
        <v>11</v>
      </c>
      <c r="D104" s="3420" t="s">
        <v>692</v>
      </c>
      <c r="E104" s="3347">
        <v>9</v>
      </c>
      <c r="F104" s="3404" t="s">
        <v>291</v>
      </c>
      <c r="G104" s="3404" t="s">
        <v>693</v>
      </c>
      <c r="H104" s="1634" t="s">
        <v>30</v>
      </c>
      <c r="I104" s="2049">
        <f>J104+L104</f>
        <v>101.6</v>
      </c>
      <c r="J104" s="2065">
        <v>1.3</v>
      </c>
      <c r="K104" s="2065"/>
      <c r="L104" s="2066">
        <v>100.3</v>
      </c>
      <c r="M104" s="1565"/>
      <c r="N104" s="1624"/>
      <c r="O104" s="2163"/>
      <c r="P104" s="1625"/>
      <c r="Q104" s="1624"/>
      <c r="R104" s="1624"/>
      <c r="S104" s="2163"/>
      <c r="T104" s="1625"/>
      <c r="U104" s="1624"/>
      <c r="V104" s="1624"/>
      <c r="W104" s="2163"/>
      <c r="X104" s="1625"/>
    </row>
    <row r="105" spans="1:71" s="1626" customFormat="1" ht="15" customHeight="1" x14ac:dyDescent="0.2">
      <c r="A105" s="3413"/>
      <c r="B105" s="3416"/>
      <c r="C105" s="3405"/>
      <c r="D105" s="3421"/>
      <c r="E105" s="3341"/>
      <c r="F105" s="3405"/>
      <c r="G105" s="3405"/>
      <c r="H105" s="1635" t="s">
        <v>112</v>
      </c>
      <c r="I105" s="2049">
        <f t="shared" ref="I105:I109" si="81">J105+L105</f>
        <v>62.599999999999994</v>
      </c>
      <c r="J105" s="2067">
        <v>0.3</v>
      </c>
      <c r="K105" s="2068"/>
      <c r="L105" s="2066">
        <v>62.3</v>
      </c>
      <c r="M105" s="1624"/>
      <c r="N105" s="1624"/>
      <c r="O105" s="2163"/>
      <c r="P105" s="1625"/>
      <c r="Q105" s="1624"/>
      <c r="R105" s="1624"/>
      <c r="S105" s="2163"/>
      <c r="T105" s="1625"/>
      <c r="U105" s="1624"/>
      <c r="V105" s="1624"/>
      <c r="W105" s="2163"/>
      <c r="X105" s="1625"/>
    </row>
    <row r="106" spans="1:71" s="1626" customFormat="1" ht="15" customHeight="1" thickBot="1" x14ac:dyDescent="0.25">
      <c r="A106" s="3413"/>
      <c r="B106" s="3416"/>
      <c r="C106" s="3405"/>
      <c r="D106" s="3421"/>
      <c r="E106" s="3341"/>
      <c r="F106" s="3406"/>
      <c r="G106" s="3406"/>
      <c r="H106" s="1636" t="s">
        <v>111</v>
      </c>
      <c r="I106" s="2049">
        <f t="shared" si="81"/>
        <v>711.1</v>
      </c>
      <c r="J106" s="2069">
        <v>3.9</v>
      </c>
      <c r="K106" s="2069"/>
      <c r="L106" s="2070">
        <v>707.2</v>
      </c>
      <c r="M106" s="1637"/>
      <c r="N106" s="1637"/>
      <c r="O106" s="1611"/>
      <c r="P106" s="1638"/>
      <c r="Q106" s="1637"/>
      <c r="R106" s="1637"/>
      <c r="S106" s="1611"/>
      <c r="T106" s="1638"/>
      <c r="U106" s="1637"/>
      <c r="V106" s="1637"/>
      <c r="W106" s="1611"/>
      <c r="X106" s="1638"/>
    </row>
    <row r="107" spans="1:71" s="1632" customFormat="1" ht="26.25" customHeight="1" thickBot="1" x14ac:dyDescent="0.25">
      <c r="A107" s="3414"/>
      <c r="B107" s="3417"/>
      <c r="C107" s="3419"/>
      <c r="D107" s="3422"/>
      <c r="E107" s="3373"/>
      <c r="F107" s="3407" t="s">
        <v>35</v>
      </c>
      <c r="G107" s="3408"/>
      <c r="H107" s="3409"/>
      <c r="I107" s="1631">
        <f t="shared" si="81"/>
        <v>875.30000000000007</v>
      </c>
      <c r="J107" s="1639">
        <f>J104+J105+J106</f>
        <v>5.5</v>
      </c>
      <c r="K107" s="1639">
        <f t="shared" ref="K107:L107" si="82">K104+K105+K106</f>
        <v>0</v>
      </c>
      <c r="L107" s="1639">
        <f t="shared" si="82"/>
        <v>869.80000000000007</v>
      </c>
      <c r="M107" s="1640">
        <f>N107+P107</f>
        <v>0</v>
      </c>
      <c r="N107" s="1639">
        <f>N104+N105+N106</f>
        <v>0</v>
      </c>
      <c r="O107" s="1639">
        <f t="shared" ref="O107:P107" si="83">O104+O105+O106</f>
        <v>0</v>
      </c>
      <c r="P107" s="1639">
        <f t="shared" si="83"/>
        <v>0</v>
      </c>
      <c r="Q107" s="1640">
        <f>R107+T107</f>
        <v>0</v>
      </c>
      <c r="R107" s="1639">
        <f>R104+R105+R106</f>
        <v>0</v>
      </c>
      <c r="S107" s="1639">
        <f t="shared" ref="S107:T107" si="84">S104+S105+S106</f>
        <v>0</v>
      </c>
      <c r="T107" s="1641">
        <f t="shared" si="84"/>
        <v>0</v>
      </c>
      <c r="U107" s="1631">
        <f>V107+X107</f>
        <v>0</v>
      </c>
      <c r="V107" s="1590">
        <f>V104+V105+V106</f>
        <v>0</v>
      </c>
      <c r="W107" s="1590">
        <f t="shared" ref="W107:X107" si="85">W104+W105+W106</f>
        <v>0</v>
      </c>
      <c r="X107" s="1591">
        <f t="shared" si="85"/>
        <v>0</v>
      </c>
      <c r="Y107" s="1626"/>
      <c r="Z107" s="1626"/>
      <c r="AA107" s="1626"/>
      <c r="AB107" s="1626"/>
      <c r="AC107" s="1626"/>
      <c r="AD107" s="1626"/>
      <c r="AE107" s="1626"/>
      <c r="AF107" s="1626"/>
      <c r="AG107" s="1626"/>
      <c r="AH107" s="1626"/>
      <c r="AI107" s="1626"/>
      <c r="AJ107" s="1626"/>
      <c r="AK107" s="1626"/>
      <c r="AL107" s="1626"/>
      <c r="AM107" s="1626"/>
      <c r="AN107" s="1626"/>
      <c r="AO107" s="1626"/>
      <c r="AP107" s="1626"/>
      <c r="AQ107" s="1626"/>
      <c r="AR107" s="1626"/>
      <c r="AS107" s="1626"/>
      <c r="AT107" s="1626"/>
      <c r="AU107" s="1626"/>
      <c r="AV107" s="1626"/>
      <c r="AW107" s="1626"/>
      <c r="AX107" s="1626"/>
      <c r="AY107" s="1626"/>
      <c r="AZ107" s="1626"/>
      <c r="BA107" s="1626"/>
      <c r="BB107" s="1626"/>
      <c r="BC107" s="1626"/>
      <c r="BD107" s="1626"/>
      <c r="BE107" s="1626"/>
      <c r="BF107" s="1626"/>
      <c r="BG107" s="1626"/>
      <c r="BH107" s="1626"/>
      <c r="BI107" s="1626"/>
      <c r="BJ107" s="1626"/>
      <c r="BK107" s="1626"/>
      <c r="BL107" s="1626"/>
      <c r="BM107" s="1626"/>
      <c r="BN107" s="1626"/>
      <c r="BO107" s="1626"/>
      <c r="BP107" s="1626"/>
      <c r="BQ107" s="1626"/>
      <c r="BR107" s="1626"/>
      <c r="BS107" s="1626"/>
    </row>
    <row r="108" spans="1:71" s="1559" customFormat="1" ht="29.25" hidden="1" customHeight="1" x14ac:dyDescent="0.2">
      <c r="A108" s="3352">
        <v>1</v>
      </c>
      <c r="B108" s="3337">
        <v>3</v>
      </c>
      <c r="C108" s="3345">
        <v>12</v>
      </c>
      <c r="D108" s="3355" t="s">
        <v>694</v>
      </c>
      <c r="E108" s="3347">
        <v>9</v>
      </c>
      <c r="F108" s="2144" t="s">
        <v>291</v>
      </c>
      <c r="G108" s="2144" t="s">
        <v>695</v>
      </c>
      <c r="H108" s="1642" t="s">
        <v>30</v>
      </c>
      <c r="I108" s="1565">
        <f t="shared" si="81"/>
        <v>0</v>
      </c>
      <c r="J108" s="2163">
        <v>0</v>
      </c>
      <c r="K108" s="2163">
        <v>0</v>
      </c>
      <c r="L108" s="1566">
        <v>0</v>
      </c>
      <c r="M108" s="1565">
        <f>N108+P108</f>
        <v>0</v>
      </c>
      <c r="N108" s="2163">
        <v>0</v>
      </c>
      <c r="O108" s="2163">
        <v>0</v>
      </c>
      <c r="P108" s="1566">
        <v>0</v>
      </c>
      <c r="Q108" s="1565">
        <f>R108+T108</f>
        <v>0</v>
      </c>
      <c r="R108" s="2163">
        <v>0</v>
      </c>
      <c r="S108" s="2163">
        <v>0</v>
      </c>
      <c r="T108" s="1566">
        <v>0</v>
      </c>
      <c r="U108" s="2306"/>
      <c r="V108" s="2306"/>
      <c r="W108" s="2306"/>
      <c r="X108" s="1643"/>
    </row>
    <row r="109" spans="1:71" s="1559" customFormat="1" ht="25.5" hidden="1" customHeight="1" x14ac:dyDescent="0.2">
      <c r="A109" s="3353"/>
      <c r="B109" s="3354"/>
      <c r="C109" s="3394"/>
      <c r="D109" s="3423"/>
      <c r="E109" s="3373"/>
      <c r="F109" s="3349" t="s">
        <v>35</v>
      </c>
      <c r="G109" s="3350"/>
      <c r="H109" s="3351"/>
      <c r="I109" s="1567">
        <f t="shared" si="81"/>
        <v>0</v>
      </c>
      <c r="J109" s="1568">
        <f>SUM(J108:J108)</f>
        <v>0</v>
      </c>
      <c r="K109" s="1568">
        <f>SUM(K108:K108)</f>
        <v>0</v>
      </c>
      <c r="L109" s="1569">
        <f>SUM(L108:L108)</f>
        <v>0</v>
      </c>
      <c r="M109" s="1567">
        <f>N109+P109</f>
        <v>0</v>
      </c>
      <c r="N109" s="1568">
        <f>SUM(N108:N108)</f>
        <v>0</v>
      </c>
      <c r="O109" s="1568">
        <f>SUM(O108:O108)</f>
        <v>0</v>
      </c>
      <c r="P109" s="1569">
        <f>SUM(P108:P108)</f>
        <v>0</v>
      </c>
      <c r="Q109" s="1567">
        <f>R109+T109</f>
        <v>0</v>
      </c>
      <c r="R109" s="1568">
        <f>SUM(R108:R108)</f>
        <v>0</v>
      </c>
      <c r="S109" s="1568">
        <f>SUM(S108:S108)</f>
        <v>0</v>
      </c>
      <c r="T109" s="1569">
        <f>SUM(T108:T108)</f>
        <v>0</v>
      </c>
      <c r="U109" s="2307"/>
      <c r="V109" s="2307"/>
      <c r="W109" s="2307"/>
      <c r="X109" s="1645"/>
    </row>
    <row r="110" spans="1:71" s="1559" customFormat="1" ht="33.75" hidden="1" customHeight="1" x14ac:dyDescent="0.2">
      <c r="A110" s="3352">
        <v>1</v>
      </c>
      <c r="B110" s="3337">
        <v>3</v>
      </c>
      <c r="C110" s="3345">
        <v>13</v>
      </c>
      <c r="D110" s="3355" t="s">
        <v>696</v>
      </c>
      <c r="E110" s="3347">
        <v>9</v>
      </c>
      <c r="F110" s="1646" t="s">
        <v>291</v>
      </c>
      <c r="G110" s="2145" t="s">
        <v>697</v>
      </c>
      <c r="H110" s="1643" t="s">
        <v>30</v>
      </c>
      <c r="I110" s="1647"/>
      <c r="J110" s="1648"/>
      <c r="K110" s="1648"/>
      <c r="L110" s="1649"/>
      <c r="M110" s="1647"/>
      <c r="N110" s="1648"/>
      <c r="O110" s="1648"/>
      <c r="P110" s="1649"/>
      <c r="Q110" s="1647"/>
      <c r="R110" s="1648"/>
      <c r="S110" s="1648"/>
      <c r="T110" s="1649"/>
      <c r="U110" s="2307"/>
      <c r="V110" s="2307"/>
      <c r="W110" s="2307"/>
      <c r="X110" s="1645"/>
    </row>
    <row r="111" spans="1:71" s="1559" customFormat="1" ht="33.75" hidden="1" customHeight="1" x14ac:dyDescent="0.2">
      <c r="A111" s="3353"/>
      <c r="B111" s="3354"/>
      <c r="C111" s="3394"/>
      <c r="D111" s="3423"/>
      <c r="E111" s="3373"/>
      <c r="F111" s="3349" t="s">
        <v>35</v>
      </c>
      <c r="G111" s="3350"/>
      <c r="H111" s="3351"/>
      <c r="I111" s="1567"/>
      <c r="J111" s="1568"/>
      <c r="K111" s="1568"/>
      <c r="L111" s="1569"/>
      <c r="M111" s="1567"/>
      <c r="N111" s="1568"/>
      <c r="O111" s="1568"/>
      <c r="P111" s="1569"/>
      <c r="Q111" s="1567"/>
      <c r="R111" s="1568"/>
      <c r="S111" s="1568"/>
      <c r="T111" s="1569"/>
      <c r="U111" s="2307"/>
      <c r="V111" s="2307"/>
      <c r="W111" s="2307"/>
      <c r="X111" s="1645"/>
    </row>
    <row r="112" spans="1:71" s="1559" customFormat="1" ht="16.5" customHeight="1" x14ac:dyDescent="0.2">
      <c r="A112" s="3352">
        <v>1</v>
      </c>
      <c r="B112" s="3337">
        <v>3</v>
      </c>
      <c r="C112" s="3345">
        <v>12</v>
      </c>
      <c r="D112" s="3304" t="s">
        <v>698</v>
      </c>
      <c r="E112" s="3345">
        <v>9</v>
      </c>
      <c r="F112" s="3424" t="s">
        <v>291</v>
      </c>
      <c r="G112" s="3342" t="s">
        <v>699</v>
      </c>
      <c r="H112" s="1650" t="s">
        <v>665</v>
      </c>
      <c r="I112" s="1651">
        <f t="shared" ref="I112" si="86">J112+L112</f>
        <v>62.8</v>
      </c>
      <c r="J112" s="1652"/>
      <c r="K112" s="1652"/>
      <c r="L112" s="1653">
        <v>62.8</v>
      </c>
      <c r="M112" s="1651">
        <f>N112+P112</f>
        <v>80</v>
      </c>
      <c r="N112" s="1652"/>
      <c r="O112" s="1652"/>
      <c r="P112" s="1653">
        <v>80</v>
      </c>
      <c r="Q112" s="1651"/>
      <c r="R112" s="1652"/>
      <c r="S112" s="1652"/>
      <c r="T112" s="1653"/>
      <c r="U112" s="1651"/>
      <c r="V112" s="1652"/>
      <c r="W112" s="1652"/>
      <c r="X112" s="1653"/>
    </row>
    <row r="113" spans="1:25" s="1559" customFormat="1" ht="15.75" customHeight="1" thickBot="1" x14ac:dyDescent="0.25">
      <c r="A113" s="3396"/>
      <c r="B113" s="3338"/>
      <c r="C113" s="3339"/>
      <c r="D113" s="3346"/>
      <c r="E113" s="3339"/>
      <c r="F113" s="3424"/>
      <c r="G113" s="3342"/>
      <c r="H113" s="1654" t="s">
        <v>30</v>
      </c>
      <c r="I113" s="1655">
        <f>J113+L113</f>
        <v>24</v>
      </c>
      <c r="J113" s="1656"/>
      <c r="K113" s="1656"/>
      <c r="L113" s="1657">
        <v>24</v>
      </c>
      <c r="M113" s="1655">
        <f>N113+P113</f>
        <v>7</v>
      </c>
      <c r="N113" s="1656"/>
      <c r="O113" s="1656"/>
      <c r="P113" s="1657">
        <v>7</v>
      </c>
      <c r="Q113" s="1655"/>
      <c r="R113" s="1656"/>
      <c r="S113" s="1656"/>
      <c r="T113" s="1657"/>
      <c r="U113" s="1655"/>
      <c r="V113" s="1656"/>
      <c r="W113" s="1656"/>
      <c r="X113" s="1657"/>
    </row>
    <row r="114" spans="1:25" s="1559" customFormat="1" ht="16.5" customHeight="1" thickBot="1" x14ac:dyDescent="0.25">
      <c r="A114" s="3353"/>
      <c r="B114" s="3354"/>
      <c r="C114" s="3339"/>
      <c r="D114" s="3346"/>
      <c r="E114" s="3373"/>
      <c r="F114" s="3349" t="s">
        <v>35</v>
      </c>
      <c r="G114" s="3350"/>
      <c r="H114" s="3351"/>
      <c r="I114" s="1567">
        <f>J114+L114</f>
        <v>86.8</v>
      </c>
      <c r="J114" s="1568">
        <f>SUM(J112)</f>
        <v>0</v>
      </c>
      <c r="K114" s="1568">
        <f>SUM(K112)</f>
        <v>0</v>
      </c>
      <c r="L114" s="1569">
        <f>SUM(L112,L113)</f>
        <v>86.8</v>
      </c>
      <c r="M114" s="1567">
        <f t="shared" ref="M114:M131" si="87">N114+P114</f>
        <v>87</v>
      </c>
      <c r="N114" s="1568">
        <f>SUM(N112)</f>
        <v>0</v>
      </c>
      <c r="O114" s="1568">
        <f>SUM(O112)</f>
        <v>0</v>
      </c>
      <c r="P114" s="1569">
        <f>SUM(P112,P113)</f>
        <v>87</v>
      </c>
      <c r="Q114" s="1567">
        <f t="shared" ref="Q114:Q131" si="88">R114+T114</f>
        <v>0</v>
      </c>
      <c r="R114" s="1568">
        <f>SUM(R112)</f>
        <v>0</v>
      </c>
      <c r="S114" s="1568">
        <f>SUM(S112)</f>
        <v>0</v>
      </c>
      <c r="T114" s="1569">
        <f>SUM(T112,T113)</f>
        <v>0</v>
      </c>
      <c r="U114" s="1567">
        <f t="shared" ref="U114:U122" si="89">V114+X114</f>
        <v>0</v>
      </c>
      <c r="V114" s="1568">
        <f>SUM(V112)</f>
        <v>0</v>
      </c>
      <c r="W114" s="1568">
        <f>SUM(W112)</f>
        <v>0</v>
      </c>
      <c r="X114" s="1569">
        <f>SUM(X112,X113)</f>
        <v>0</v>
      </c>
    </row>
    <row r="115" spans="1:25" s="1559" customFormat="1" ht="21" customHeight="1" x14ac:dyDescent="0.2">
      <c r="A115" s="3352">
        <v>1</v>
      </c>
      <c r="B115" s="3337">
        <v>3</v>
      </c>
      <c r="C115" s="3345">
        <v>13</v>
      </c>
      <c r="D115" s="3304" t="s">
        <v>700</v>
      </c>
      <c r="E115" s="3347">
        <v>9</v>
      </c>
      <c r="F115" s="3348" t="s">
        <v>291</v>
      </c>
      <c r="G115" s="3348" t="s">
        <v>701</v>
      </c>
      <c r="H115" s="1617" t="s">
        <v>665</v>
      </c>
      <c r="I115" s="1565">
        <f t="shared" ref="I115:I122" si="90">J115+L115</f>
        <v>481</v>
      </c>
      <c r="J115" s="2163">
        <v>0</v>
      </c>
      <c r="K115" s="2163">
        <v>0</v>
      </c>
      <c r="L115" s="1566">
        <v>481</v>
      </c>
      <c r="M115" s="1565">
        <f>N115+P115</f>
        <v>800</v>
      </c>
      <c r="N115" s="2163">
        <v>0</v>
      </c>
      <c r="O115" s="2163">
        <v>0</v>
      </c>
      <c r="P115" s="1566">
        <v>800</v>
      </c>
      <c r="Q115" s="1565">
        <f t="shared" si="88"/>
        <v>0</v>
      </c>
      <c r="R115" s="2163">
        <v>0</v>
      </c>
      <c r="S115" s="2163">
        <v>0</v>
      </c>
      <c r="T115" s="1566">
        <v>0</v>
      </c>
      <c r="U115" s="1565">
        <f t="shared" si="89"/>
        <v>0</v>
      </c>
      <c r="V115" s="2163">
        <v>0</v>
      </c>
      <c r="W115" s="2163">
        <v>0</v>
      </c>
      <c r="X115" s="1566">
        <v>0</v>
      </c>
    </row>
    <row r="116" spans="1:25" s="1559" customFormat="1" ht="21" customHeight="1" thickBot="1" x14ac:dyDescent="0.25">
      <c r="A116" s="3396"/>
      <c r="B116" s="3338"/>
      <c r="C116" s="3339"/>
      <c r="D116" s="3346"/>
      <c r="E116" s="3341"/>
      <c r="F116" s="3342"/>
      <c r="G116" s="3342"/>
      <c r="H116" s="1658" t="s">
        <v>30</v>
      </c>
      <c r="I116" s="1572">
        <f t="shared" si="90"/>
        <v>49</v>
      </c>
      <c r="J116" s="2145"/>
      <c r="K116" s="2145"/>
      <c r="L116" s="1573">
        <v>49</v>
      </c>
      <c r="M116" s="1572">
        <f t="shared" ref="M116" si="91">N116+P116</f>
        <v>150</v>
      </c>
      <c r="N116" s="2145">
        <v>0</v>
      </c>
      <c r="O116" s="2145">
        <v>0</v>
      </c>
      <c r="P116" s="1573">
        <v>150</v>
      </c>
      <c r="Q116" s="1572">
        <f t="shared" si="88"/>
        <v>50</v>
      </c>
      <c r="R116" s="2145"/>
      <c r="S116" s="2145"/>
      <c r="T116" s="1573">
        <v>50</v>
      </c>
      <c r="U116" s="1572">
        <f t="shared" si="89"/>
        <v>0</v>
      </c>
      <c r="V116" s="2145"/>
      <c r="W116" s="2145"/>
      <c r="X116" s="1573">
        <v>0</v>
      </c>
    </row>
    <row r="117" spans="1:25" s="1559" customFormat="1" ht="21" customHeight="1" thickBot="1" x14ac:dyDescent="0.25">
      <c r="A117" s="3353"/>
      <c r="B117" s="3354"/>
      <c r="C117" s="3394"/>
      <c r="D117" s="3372"/>
      <c r="E117" s="3373"/>
      <c r="F117" s="3349" t="s">
        <v>35</v>
      </c>
      <c r="G117" s="3350"/>
      <c r="H117" s="3351"/>
      <c r="I117" s="1605">
        <f t="shared" si="90"/>
        <v>530</v>
      </c>
      <c r="J117" s="1606">
        <f>SUM(J115,J116)</f>
        <v>0</v>
      </c>
      <c r="K117" s="1606">
        <f>SUM(K115,K116)</f>
        <v>0</v>
      </c>
      <c r="L117" s="1607">
        <f>SUM(L115,L116)</f>
        <v>530</v>
      </c>
      <c r="M117" s="1605">
        <f t="shared" si="87"/>
        <v>950</v>
      </c>
      <c r="N117" s="1606">
        <f>SUM(N115,N116)</f>
        <v>0</v>
      </c>
      <c r="O117" s="1606">
        <f>SUM(O115,O116)</f>
        <v>0</v>
      </c>
      <c r="P117" s="1607">
        <f>SUM(P115,P116)</f>
        <v>950</v>
      </c>
      <c r="Q117" s="1605">
        <f t="shared" si="88"/>
        <v>50</v>
      </c>
      <c r="R117" s="1606">
        <f>SUM(R115,R116)</f>
        <v>0</v>
      </c>
      <c r="S117" s="1606">
        <f>SUM(S115,S116)</f>
        <v>0</v>
      </c>
      <c r="T117" s="1607">
        <f>SUM(T115,T116)</f>
        <v>50</v>
      </c>
      <c r="U117" s="1567">
        <f t="shared" si="89"/>
        <v>0</v>
      </c>
      <c r="V117" s="1568">
        <f>SUM(V115,V116)</f>
        <v>0</v>
      </c>
      <c r="W117" s="1568">
        <f>SUM(W115,W116)</f>
        <v>0</v>
      </c>
      <c r="X117" s="1569">
        <f>SUM(X115,X116)</f>
        <v>0</v>
      </c>
    </row>
    <row r="118" spans="1:25" s="1559" customFormat="1" ht="21" customHeight="1" x14ac:dyDescent="0.2">
      <c r="A118" s="3352">
        <v>1</v>
      </c>
      <c r="B118" s="3337">
        <v>3</v>
      </c>
      <c r="C118" s="3345">
        <v>14</v>
      </c>
      <c r="D118" s="3395" t="s">
        <v>702</v>
      </c>
      <c r="E118" s="3347">
        <v>9</v>
      </c>
      <c r="F118" s="3401" t="s">
        <v>291</v>
      </c>
      <c r="G118" s="3428" t="s">
        <v>703</v>
      </c>
      <c r="H118" s="2009" t="s">
        <v>634</v>
      </c>
      <c r="I118" s="1978">
        <f t="shared" si="90"/>
        <v>0</v>
      </c>
      <c r="J118" s="1979">
        <v>0</v>
      </c>
      <c r="K118" s="1979">
        <v>0</v>
      </c>
      <c r="L118" s="2010"/>
      <c r="M118" s="1978">
        <f t="shared" si="87"/>
        <v>1150</v>
      </c>
      <c r="N118" s="1979">
        <v>0</v>
      </c>
      <c r="O118" s="1979">
        <v>0</v>
      </c>
      <c r="P118" s="2010">
        <v>1150</v>
      </c>
      <c r="Q118" s="2180">
        <f t="shared" si="88"/>
        <v>0</v>
      </c>
      <c r="R118" s="2178">
        <v>0</v>
      </c>
      <c r="S118" s="2178">
        <v>0</v>
      </c>
      <c r="T118" s="2179">
        <v>0</v>
      </c>
      <c r="U118" s="2180">
        <f t="shared" si="89"/>
        <v>0</v>
      </c>
      <c r="V118" s="2178">
        <v>0</v>
      </c>
      <c r="W118" s="2178">
        <v>0</v>
      </c>
      <c r="X118" s="2179">
        <v>0</v>
      </c>
    </row>
    <row r="119" spans="1:25" s="1559" customFormat="1" ht="11.25" x14ac:dyDescent="0.2">
      <c r="A119" s="3396"/>
      <c r="B119" s="3338"/>
      <c r="C119" s="3339"/>
      <c r="D119" s="3340"/>
      <c r="E119" s="3341"/>
      <c r="F119" s="3402"/>
      <c r="G119" s="3429"/>
      <c r="H119" s="2011" t="s">
        <v>30</v>
      </c>
      <c r="I119" s="1980">
        <f t="shared" si="90"/>
        <v>0</v>
      </c>
      <c r="J119" s="1981"/>
      <c r="K119" s="1981"/>
      <c r="L119" s="2006"/>
      <c r="M119" s="1937">
        <f t="shared" si="87"/>
        <v>0</v>
      </c>
      <c r="N119" s="1938">
        <v>0</v>
      </c>
      <c r="O119" s="1938">
        <v>0</v>
      </c>
      <c r="P119" s="2005"/>
      <c r="Q119" s="2174">
        <f t="shared" si="88"/>
        <v>300</v>
      </c>
      <c r="R119" s="2172">
        <v>0</v>
      </c>
      <c r="S119" s="2172">
        <v>0</v>
      </c>
      <c r="T119" s="2173">
        <v>300</v>
      </c>
      <c r="U119" s="2174">
        <f t="shared" si="89"/>
        <v>300</v>
      </c>
      <c r="V119" s="2172">
        <v>0</v>
      </c>
      <c r="W119" s="2172">
        <v>0</v>
      </c>
      <c r="X119" s="2173">
        <v>300</v>
      </c>
    </row>
    <row r="120" spans="1:25" s="1559" customFormat="1" ht="21" customHeight="1" x14ac:dyDescent="0.2">
      <c r="A120" s="3396"/>
      <c r="B120" s="3338"/>
      <c r="C120" s="3339"/>
      <c r="D120" s="3340"/>
      <c r="E120" s="3341"/>
      <c r="F120" s="3402"/>
      <c r="G120" s="3429"/>
      <c r="H120" s="2011" t="s">
        <v>32</v>
      </c>
      <c r="I120" s="1980">
        <f t="shared" si="90"/>
        <v>210</v>
      </c>
      <c r="J120" s="1981"/>
      <c r="K120" s="1981"/>
      <c r="L120" s="2006">
        <f>150+60</f>
        <v>210</v>
      </c>
      <c r="M120" s="1980">
        <f t="shared" si="87"/>
        <v>0</v>
      </c>
      <c r="N120" s="1981">
        <v>0</v>
      </c>
      <c r="O120" s="1981">
        <v>0</v>
      </c>
      <c r="P120" s="2006"/>
      <c r="Q120" s="2174">
        <f t="shared" si="88"/>
        <v>0</v>
      </c>
      <c r="R120" s="2172">
        <v>0</v>
      </c>
      <c r="S120" s="2172">
        <v>0</v>
      </c>
      <c r="T120" s="2173">
        <v>0</v>
      </c>
      <c r="U120" s="2174">
        <f t="shared" si="89"/>
        <v>0</v>
      </c>
      <c r="V120" s="2172">
        <v>0</v>
      </c>
      <c r="W120" s="2172">
        <v>0</v>
      </c>
      <c r="X120" s="2173">
        <v>0</v>
      </c>
    </row>
    <row r="121" spans="1:25" s="1559" customFormat="1" ht="21" customHeight="1" thickBot="1" x14ac:dyDescent="0.25">
      <c r="A121" s="3396"/>
      <c r="B121" s="3338"/>
      <c r="C121" s="3339"/>
      <c r="D121" s="3340"/>
      <c r="E121" s="3341"/>
      <c r="F121" s="3403"/>
      <c r="G121" s="3430"/>
      <c r="H121" s="2012" t="s">
        <v>116</v>
      </c>
      <c r="I121" s="2013">
        <f t="shared" ref="I121" si="92">J121+L121</f>
        <v>0</v>
      </c>
      <c r="J121" s="2165"/>
      <c r="K121" s="2165"/>
      <c r="L121" s="2014"/>
      <c r="M121" s="2013">
        <f t="shared" ref="M121" si="93">N121+P121</f>
        <v>350</v>
      </c>
      <c r="N121" s="2165">
        <v>0</v>
      </c>
      <c r="O121" s="2165">
        <v>0</v>
      </c>
      <c r="P121" s="2014">
        <v>350</v>
      </c>
      <c r="Q121" s="1572">
        <f t="shared" ref="Q121" si="94">R121+T121</f>
        <v>0</v>
      </c>
      <c r="R121" s="2145">
        <v>0</v>
      </c>
      <c r="S121" s="2145">
        <v>0</v>
      </c>
      <c r="T121" s="1573">
        <v>0</v>
      </c>
      <c r="U121" s="1572">
        <f t="shared" ref="U121" si="95">V121+X121</f>
        <v>0</v>
      </c>
      <c r="V121" s="2145">
        <v>0</v>
      </c>
      <c r="W121" s="2145">
        <v>0</v>
      </c>
      <c r="X121" s="1573">
        <v>0</v>
      </c>
    </row>
    <row r="122" spans="1:25" s="1559" customFormat="1" ht="12" thickBot="1" x14ac:dyDescent="0.25">
      <c r="A122" s="3353"/>
      <c r="B122" s="3354"/>
      <c r="C122" s="3394"/>
      <c r="D122" s="3400"/>
      <c r="E122" s="3373"/>
      <c r="F122" s="3349" t="s">
        <v>35</v>
      </c>
      <c r="G122" s="3350"/>
      <c r="H122" s="3351"/>
      <c r="I122" s="1567">
        <f t="shared" si="90"/>
        <v>210</v>
      </c>
      <c r="J122" s="1568">
        <f>SUM(J118:J121)</f>
        <v>0</v>
      </c>
      <c r="K122" s="1568">
        <f t="shared" ref="K122:L122" si="96">SUM(K118:K121)</f>
        <v>0</v>
      </c>
      <c r="L122" s="1568">
        <f t="shared" si="96"/>
        <v>210</v>
      </c>
      <c r="M122" s="1567">
        <f t="shared" si="87"/>
        <v>1500</v>
      </c>
      <c r="N122" s="1568">
        <f>SUM(N118:N121)</f>
        <v>0</v>
      </c>
      <c r="O122" s="1568">
        <f t="shared" ref="O122" si="97">SUM(O118:O121)</f>
        <v>0</v>
      </c>
      <c r="P122" s="1568">
        <f t="shared" ref="P122" si="98">SUM(P118:P121)</f>
        <v>1500</v>
      </c>
      <c r="Q122" s="1567">
        <f t="shared" si="88"/>
        <v>300</v>
      </c>
      <c r="R122" s="1568">
        <f>SUM(R118:R121)</f>
        <v>0</v>
      </c>
      <c r="S122" s="1568">
        <f t="shared" ref="S122" si="99">SUM(S118:S121)</f>
        <v>0</v>
      </c>
      <c r="T122" s="1568">
        <f t="shared" ref="T122" si="100">SUM(T118:T121)</f>
        <v>300</v>
      </c>
      <c r="U122" s="1567">
        <f t="shared" si="89"/>
        <v>300</v>
      </c>
      <c r="V122" s="1568">
        <f>SUM(V118:V121)</f>
        <v>0</v>
      </c>
      <c r="W122" s="1568">
        <f t="shared" ref="W122" si="101">SUM(W118:W121)</f>
        <v>0</v>
      </c>
      <c r="X122" s="1569">
        <f t="shared" ref="X122" si="102">SUM(X118:X121)</f>
        <v>300</v>
      </c>
    </row>
    <row r="123" spans="1:25" s="1562" customFormat="1" ht="12.75" customHeight="1" thickBot="1" x14ac:dyDescent="0.25">
      <c r="A123" s="3352">
        <v>1</v>
      </c>
      <c r="B123" s="3377">
        <v>3</v>
      </c>
      <c r="C123" s="3349" t="s">
        <v>659</v>
      </c>
      <c r="D123" s="3350"/>
      <c r="E123" s="3350"/>
      <c r="F123" s="3350"/>
      <c r="G123" s="3350"/>
      <c r="H123" s="3351"/>
      <c r="I123" s="1589">
        <f>J123+L123</f>
        <v>1358.2999999999997</v>
      </c>
      <c r="J123" s="1590">
        <f t="shared" ref="J123:K123" si="103">J119+J116+J113+J110+J108+J104+J101+J96+J94+J87+J76+J74+J70+J68+J82+J92</f>
        <v>135.1</v>
      </c>
      <c r="K123" s="1590">
        <f t="shared" si="103"/>
        <v>0</v>
      </c>
      <c r="L123" s="1590">
        <f>L119+L116+L113+L110+L108+L104+L101+L96+L94+L87+L76+L74+L70+L68+L82+L92</f>
        <v>1223.1999999999998</v>
      </c>
      <c r="M123" s="1589">
        <f>N123+P123</f>
        <v>672.7</v>
      </c>
      <c r="N123" s="1590">
        <f t="shared" ref="N123:O123" si="104">N119+N116+N113+N110+N108+N104+N101+N96+N94+N87+N76+N74+N70+N68+N82+N92</f>
        <v>50</v>
      </c>
      <c r="O123" s="1590">
        <f t="shared" si="104"/>
        <v>0</v>
      </c>
      <c r="P123" s="1590">
        <f>P119+P116+P113+P110+P108+P104+P101+P96+P94+P87+P76+P74+P70+P68+P82+P92</f>
        <v>622.70000000000005</v>
      </c>
      <c r="Q123" s="1589">
        <f>R123+T123</f>
        <v>2050</v>
      </c>
      <c r="R123" s="1590">
        <f t="shared" ref="R123:S123" si="105">R119+R116+R113+R110+R108+R104+R101+R96+R94+R87+R76+R74+R70+R68+R82+R92</f>
        <v>0</v>
      </c>
      <c r="S123" s="1590">
        <f t="shared" si="105"/>
        <v>0</v>
      </c>
      <c r="T123" s="1590">
        <f>T119+T116+T113+T110+T108+T104+T101+T96+T94+T87+T76+T74+T70+T68+T82+T92</f>
        <v>2050</v>
      </c>
      <c r="U123" s="1589">
        <f>V123+X123</f>
        <v>1900</v>
      </c>
      <c r="V123" s="1590">
        <f t="shared" ref="V123:W123" si="106">V119+V116+V113+V110+V108+V104+V101+V96+V94+V87+V76+V74+V70+V68+V82+V92</f>
        <v>0</v>
      </c>
      <c r="W123" s="1590">
        <f t="shared" si="106"/>
        <v>0</v>
      </c>
      <c r="X123" s="1591">
        <f>X119+X116+X113+X110+X108+X104+X101+X96+X94+X87+X76+X74+X70+X68+X82+X92</f>
        <v>1900</v>
      </c>
    </row>
    <row r="124" spans="1:25" s="1562" customFormat="1" ht="12.75" customHeight="1" thickBot="1" x14ac:dyDescent="0.25">
      <c r="A124" s="3396"/>
      <c r="B124" s="3425"/>
      <c r="C124" s="3349" t="s">
        <v>668</v>
      </c>
      <c r="D124" s="3350"/>
      <c r="E124" s="3350"/>
      <c r="F124" s="3350"/>
      <c r="G124" s="3350"/>
      <c r="H124" s="3351"/>
      <c r="I124" s="1589">
        <f t="shared" ref="I124:I127" si="107">J124+L124</f>
        <v>1178.6999999999998</v>
      </c>
      <c r="J124" s="1590">
        <f>J115+J112+J91+J85+J71+J67</f>
        <v>0</v>
      </c>
      <c r="K124" s="1590">
        <f>K115+K112+K91+K85+K71+K67</f>
        <v>0</v>
      </c>
      <c r="L124" s="1590">
        <f>L115+L112+L91+L85+L71+L67</f>
        <v>1178.6999999999998</v>
      </c>
      <c r="M124" s="1589">
        <f t="shared" ref="M124:M129" si="108">N124+P124</f>
        <v>1322.8</v>
      </c>
      <c r="N124" s="1590">
        <f>N115+N112+N91+N85+N71+N67</f>
        <v>0</v>
      </c>
      <c r="O124" s="1590">
        <f>O115+O112+O91+O85+O71+O67</f>
        <v>0</v>
      </c>
      <c r="P124" s="1590">
        <f>P115+P112+P91+P85+P71+P67</f>
        <v>1322.8</v>
      </c>
      <c r="Q124" s="1589">
        <f t="shared" ref="Q124:Q127" si="109">R124+T124</f>
        <v>400</v>
      </c>
      <c r="R124" s="1590">
        <f>R115+R112+R91+R85+R71+R67</f>
        <v>0</v>
      </c>
      <c r="S124" s="1590">
        <f>S115+S112+S91+S85+S71+S67</f>
        <v>0</v>
      </c>
      <c r="T124" s="1590">
        <f>T115+T112+T91+T85+T71+T67</f>
        <v>400</v>
      </c>
      <c r="U124" s="1589">
        <f t="shared" ref="U124:U127" si="110">V124+X124</f>
        <v>400</v>
      </c>
      <c r="V124" s="1590">
        <f>V115+V112+V91+V85+V71+V67</f>
        <v>0</v>
      </c>
      <c r="W124" s="1590">
        <f>W115+W112+W91+W85+W71+W67</f>
        <v>0</v>
      </c>
      <c r="X124" s="1591">
        <f>X115+X112+X91+X85+X71+X67</f>
        <v>400</v>
      </c>
    </row>
    <row r="125" spans="1:25" s="1562" customFormat="1" ht="12.75" customHeight="1" thickBot="1" x14ac:dyDescent="0.25">
      <c r="A125" s="3396"/>
      <c r="B125" s="3425"/>
      <c r="C125" s="3349" t="s">
        <v>704</v>
      </c>
      <c r="D125" s="3350"/>
      <c r="E125" s="3350"/>
      <c r="F125" s="3350"/>
      <c r="G125" s="3350"/>
      <c r="H125" s="3351"/>
      <c r="I125" s="1660">
        <f t="shared" si="107"/>
        <v>300</v>
      </c>
      <c r="J125" s="1639">
        <f>J89</f>
        <v>0</v>
      </c>
      <c r="K125" s="1639">
        <f>K89</f>
        <v>0</v>
      </c>
      <c r="L125" s="1639">
        <f>L89</f>
        <v>300</v>
      </c>
      <c r="M125" s="1660">
        <f t="shared" si="108"/>
        <v>200</v>
      </c>
      <c r="N125" s="1639">
        <f>N89</f>
        <v>0</v>
      </c>
      <c r="O125" s="1639">
        <f>O89</f>
        <v>0</v>
      </c>
      <c r="P125" s="1639">
        <f>P89</f>
        <v>200</v>
      </c>
      <c r="Q125" s="1660">
        <f t="shared" si="109"/>
        <v>200</v>
      </c>
      <c r="R125" s="1639">
        <f>R89</f>
        <v>0</v>
      </c>
      <c r="S125" s="1639">
        <f>S89</f>
        <v>0</v>
      </c>
      <c r="T125" s="1639">
        <f>T89</f>
        <v>200</v>
      </c>
      <c r="U125" s="1660">
        <f t="shared" si="110"/>
        <v>200</v>
      </c>
      <c r="V125" s="1639">
        <f>V89</f>
        <v>0</v>
      </c>
      <c r="W125" s="1639">
        <f>W89</f>
        <v>0</v>
      </c>
      <c r="X125" s="1661">
        <f>X89</f>
        <v>200</v>
      </c>
    </row>
    <row r="126" spans="1:25" s="1562" customFormat="1" ht="12.75" customHeight="1" thickBot="1" x14ac:dyDescent="0.25">
      <c r="A126" s="3396"/>
      <c r="B126" s="3425"/>
      <c r="C126" s="2154"/>
      <c r="D126" s="1662"/>
      <c r="E126" s="1662"/>
      <c r="F126" s="1662"/>
      <c r="G126" s="3426" t="s">
        <v>660</v>
      </c>
      <c r="H126" s="3427"/>
      <c r="I126" s="1660">
        <f t="shared" si="107"/>
        <v>0</v>
      </c>
      <c r="J126" s="1639">
        <f>J88</f>
        <v>0</v>
      </c>
      <c r="K126" s="1639">
        <f>K88</f>
        <v>0</v>
      </c>
      <c r="L126" s="1639">
        <f>L88+L118</f>
        <v>0</v>
      </c>
      <c r="M126" s="1660">
        <f t="shared" si="108"/>
        <v>1715</v>
      </c>
      <c r="N126" s="1639">
        <f>N88</f>
        <v>0</v>
      </c>
      <c r="O126" s="1639">
        <f>O88</f>
        <v>0</v>
      </c>
      <c r="P126" s="1639">
        <f>P79+P88+P118</f>
        <v>1715</v>
      </c>
      <c r="Q126" s="1660">
        <f t="shared" si="109"/>
        <v>0</v>
      </c>
      <c r="R126" s="1639">
        <f>R88</f>
        <v>0</v>
      </c>
      <c r="S126" s="1639">
        <f>S88</f>
        <v>0</v>
      </c>
      <c r="T126" s="1639">
        <f>T88+T118</f>
        <v>0</v>
      </c>
      <c r="U126" s="1660">
        <f t="shared" si="110"/>
        <v>0</v>
      </c>
      <c r="V126" s="1639">
        <f>V88</f>
        <v>0</v>
      </c>
      <c r="W126" s="1639">
        <f>W88</f>
        <v>0</v>
      </c>
      <c r="X126" s="1661">
        <f>X88+X118</f>
        <v>0</v>
      </c>
    </row>
    <row r="127" spans="1:25" s="1562" customFormat="1" ht="12.75" customHeight="1" thickBot="1" x14ac:dyDescent="0.25">
      <c r="A127" s="3396"/>
      <c r="B127" s="3425"/>
      <c r="C127" s="3349" t="s">
        <v>705</v>
      </c>
      <c r="D127" s="3350"/>
      <c r="E127" s="3350"/>
      <c r="F127" s="3350"/>
      <c r="G127" s="3350"/>
      <c r="H127" s="3351"/>
      <c r="I127" s="1589">
        <f t="shared" si="107"/>
        <v>1226.3</v>
      </c>
      <c r="J127" s="1590">
        <f>J106+J105+J99+J98+J65+J66+J102</f>
        <v>5.6999999999999993</v>
      </c>
      <c r="K127" s="1590">
        <f>K106+K105+K99+K98+K65+K66+K102</f>
        <v>0</v>
      </c>
      <c r="L127" s="1590">
        <f>L106+L105+L99+L98+L65+L66+L102</f>
        <v>1220.5999999999999</v>
      </c>
      <c r="M127" s="1589">
        <f t="shared" si="108"/>
        <v>423.43200000000007</v>
      </c>
      <c r="N127" s="1590">
        <f>N106+N105+N99+N98+N65+N66+N102</f>
        <v>0</v>
      </c>
      <c r="O127" s="1590">
        <f>O106+O105+O99+O98+O65+O66+O102</f>
        <v>0</v>
      </c>
      <c r="P127" s="1590">
        <f>P106+P105+P99+P98+P65+P66+P102</f>
        <v>423.43200000000007</v>
      </c>
      <c r="Q127" s="1589">
        <f t="shared" si="109"/>
        <v>0</v>
      </c>
      <c r="R127" s="1590">
        <f>R106+R105+R99+R98+R65+R66+R102</f>
        <v>0</v>
      </c>
      <c r="S127" s="1590">
        <f>S106+S105+S99+S98+S65+S66+S102</f>
        <v>0</v>
      </c>
      <c r="T127" s="1590">
        <f>T106+T105+T99+T98+T65+T66+T102</f>
        <v>0</v>
      </c>
      <c r="U127" s="1589">
        <f t="shared" si="110"/>
        <v>0</v>
      </c>
      <c r="V127" s="1590">
        <f>V106+V105+V99+V98+V65+V66+V102</f>
        <v>0</v>
      </c>
      <c r="W127" s="1590">
        <f>W106+W105+W99+W98+W65+W66+W102</f>
        <v>0</v>
      </c>
      <c r="X127" s="1591">
        <f>X106+X105+X99+X98+X65+X66+X102</f>
        <v>0</v>
      </c>
      <c r="Y127" s="1570"/>
    </row>
    <row r="128" spans="1:25" s="1562" customFormat="1" ht="12.75" customHeight="1" thickBot="1" x14ac:dyDescent="0.25">
      <c r="A128" s="3396"/>
      <c r="B128" s="3425"/>
      <c r="C128" s="2154"/>
      <c r="D128" s="2155"/>
      <c r="E128" s="2155"/>
      <c r="F128" s="2155"/>
      <c r="G128" s="3350" t="s">
        <v>706</v>
      </c>
      <c r="H128" s="3351"/>
      <c r="I128" s="1589"/>
      <c r="J128" s="1590"/>
      <c r="K128" s="1590"/>
      <c r="L128" s="1590"/>
      <c r="M128" s="1589">
        <f t="shared" si="108"/>
        <v>120</v>
      </c>
      <c r="N128" s="1590">
        <f>N83</f>
        <v>100</v>
      </c>
      <c r="O128" s="1590"/>
      <c r="P128" s="1590">
        <f>P83</f>
        <v>20</v>
      </c>
      <c r="Q128" s="1589"/>
      <c r="R128" s="1590"/>
      <c r="S128" s="1590"/>
      <c r="T128" s="1590"/>
      <c r="U128" s="1589"/>
      <c r="V128" s="1590"/>
      <c r="W128" s="1590"/>
      <c r="X128" s="1591"/>
      <c r="Y128" s="1570"/>
    </row>
    <row r="129" spans="1:25" s="1562" customFormat="1" ht="12.75" customHeight="1" thickBot="1" x14ac:dyDescent="0.25">
      <c r="A129" s="3396"/>
      <c r="B129" s="3425"/>
      <c r="C129" s="2154"/>
      <c r="D129" s="2155"/>
      <c r="E129" s="2155"/>
      <c r="F129" s="2155"/>
      <c r="G129" s="3350" t="s">
        <v>707</v>
      </c>
      <c r="H129" s="3351"/>
      <c r="I129" s="1589"/>
      <c r="J129" s="1590"/>
      <c r="K129" s="1590"/>
      <c r="L129" s="1590"/>
      <c r="M129" s="1589">
        <f t="shared" si="108"/>
        <v>500</v>
      </c>
      <c r="N129" s="1590"/>
      <c r="O129" s="1590"/>
      <c r="P129" s="1590">
        <f>P84</f>
        <v>500</v>
      </c>
      <c r="Q129" s="1589"/>
      <c r="R129" s="1590"/>
      <c r="S129" s="1590"/>
      <c r="T129" s="1590"/>
      <c r="U129" s="1589"/>
      <c r="V129" s="1590"/>
      <c r="W129" s="1590"/>
      <c r="X129" s="1591"/>
      <c r="Y129" s="1570"/>
    </row>
    <row r="130" spans="1:25" s="1562" customFormat="1" ht="12.75" customHeight="1" thickBot="1" x14ac:dyDescent="0.25">
      <c r="A130" s="3353"/>
      <c r="B130" s="3378"/>
      <c r="C130" s="3349" t="s">
        <v>708</v>
      </c>
      <c r="D130" s="3350"/>
      <c r="E130" s="3350"/>
      <c r="F130" s="3350"/>
      <c r="G130" s="3350"/>
      <c r="H130" s="3351"/>
      <c r="I130" s="1589">
        <f>J130+L130</f>
        <v>210</v>
      </c>
      <c r="J130" s="1590">
        <f>J120</f>
        <v>0</v>
      </c>
      <c r="K130" s="1590">
        <f t="shared" ref="K130:L130" si="111">K120</f>
        <v>0</v>
      </c>
      <c r="L130" s="1590">
        <f t="shared" si="111"/>
        <v>210</v>
      </c>
      <c r="M130" s="1589">
        <f>N130+P130</f>
        <v>0</v>
      </c>
      <c r="N130" s="1590">
        <f>N120</f>
        <v>0</v>
      </c>
      <c r="O130" s="1590">
        <f>O120</f>
        <v>0</v>
      </c>
      <c r="P130" s="1590"/>
      <c r="Q130" s="1589">
        <f>R130+T130</f>
        <v>0</v>
      </c>
      <c r="R130" s="1590">
        <f>R120</f>
        <v>0</v>
      </c>
      <c r="S130" s="1590">
        <f t="shared" ref="S130:T130" si="112">S120</f>
        <v>0</v>
      </c>
      <c r="T130" s="1590">
        <f t="shared" si="112"/>
        <v>0</v>
      </c>
      <c r="U130" s="1589">
        <f>V130+X130</f>
        <v>0</v>
      </c>
      <c r="V130" s="1590">
        <f>V120</f>
        <v>0</v>
      </c>
      <c r="W130" s="1590">
        <f t="shared" ref="W130:X130" si="113">W120</f>
        <v>0</v>
      </c>
      <c r="X130" s="1591">
        <f t="shared" si="113"/>
        <v>0</v>
      </c>
      <c r="Y130" s="1570"/>
    </row>
    <row r="131" spans="1:25" s="1562" customFormat="1" ht="12.75" customHeight="1" thickBot="1" x14ac:dyDescent="0.25">
      <c r="A131" s="2161">
        <v>1</v>
      </c>
      <c r="B131" s="1663" t="s">
        <v>709</v>
      </c>
      <c r="C131" s="3379" t="s">
        <v>234</v>
      </c>
      <c r="D131" s="3380"/>
      <c r="E131" s="3380"/>
      <c r="F131" s="3380"/>
      <c r="G131" s="3380"/>
      <c r="H131" s="3381"/>
      <c r="I131" s="1593">
        <f>J131+L131</f>
        <v>4735.5</v>
      </c>
      <c r="J131" s="1595">
        <f>J117+J114+J111+J109+J107+J103+J100+J95+J93+J90+J86+J81+J75+J73+J69+J122</f>
        <v>140.80000000000001</v>
      </c>
      <c r="K131" s="1595">
        <f>K117+K114+K111+K109+K107+K103+K100+K95+K93+K90+K86+K81+K75+K73+K69+K122</f>
        <v>0</v>
      </c>
      <c r="L131" s="1595">
        <f>L117+L114+L111+L109+L107+L103+L100+L95+L93+L90+L86+L81+L75+L73+L69+L122</f>
        <v>4594.7</v>
      </c>
      <c r="M131" s="1593">
        <f t="shared" si="87"/>
        <v>5581.232</v>
      </c>
      <c r="N131" s="1595">
        <f>N117+N114+N111+N109+N107+N103+N100+N95+N93+N90+N86+N81+N75+N73+N69+N122</f>
        <v>150</v>
      </c>
      <c r="O131" s="1595">
        <f>O117+O114+O111+O109+O107+O103+O100+O95+O93+O90+O86+O81+O75+O73+O69</f>
        <v>0</v>
      </c>
      <c r="P131" s="1595">
        <f>P117+P114+P111+P109+P107+P103+P100+P95+P93+P90+P86+P81+P75+P73+P69+P122</f>
        <v>5431.232</v>
      </c>
      <c r="Q131" s="1593">
        <f t="shared" si="88"/>
        <v>2650</v>
      </c>
      <c r="R131" s="1595">
        <f>R117+R114+R111+R109+R107+R103+R100+R95+R93+R90+R86+R81+R75+R73+R69</f>
        <v>0</v>
      </c>
      <c r="S131" s="1595">
        <f>S117+S114+S111+S109+S107+S103+S100+S95+S93+S90+S86+S81+S75+S73+S69</f>
        <v>0</v>
      </c>
      <c r="T131" s="1595">
        <f>T117+T114+T111+T109+T107+T103+T100+T95+T93+T90+T86+T81+T75+T73+T69+T122</f>
        <v>2650</v>
      </c>
      <c r="U131" s="1593">
        <f t="shared" ref="U131" si="114">V131+X131</f>
        <v>2500</v>
      </c>
      <c r="V131" s="1595">
        <f>V117+V114+V111+V109+V107+V103+V100+V95+V93+V90+V86+V81+V75+V73+V69</f>
        <v>0</v>
      </c>
      <c r="W131" s="1595">
        <f>W117+W114+W111+W109+W107+W103+W100+W95+W93+W90+W86+W81+W75+W73+W69</f>
        <v>0</v>
      </c>
      <c r="X131" s="1596">
        <f>X117+X114+X111+X109+X107+X103+X100+X95+X93+X90+X86+X81+X75+X73+X69+X122</f>
        <v>2500</v>
      </c>
    </row>
    <row r="132" spans="1:25" s="1559" customFormat="1" ht="18" customHeight="1" thickBot="1" x14ac:dyDescent="0.25">
      <c r="A132" s="2148">
        <v>1</v>
      </c>
      <c r="B132" s="1563">
        <v>4</v>
      </c>
      <c r="C132" s="3333" t="s">
        <v>710</v>
      </c>
      <c r="D132" s="3334"/>
      <c r="E132" s="3334"/>
      <c r="F132" s="3334"/>
      <c r="G132" s="3334"/>
      <c r="H132" s="3334"/>
      <c r="I132" s="3334"/>
      <c r="J132" s="3334"/>
      <c r="K132" s="3334"/>
      <c r="L132" s="3334"/>
      <c r="M132" s="3334"/>
      <c r="N132" s="3334"/>
      <c r="O132" s="3334"/>
      <c r="P132" s="3334"/>
      <c r="Q132" s="3334"/>
      <c r="R132" s="3334"/>
      <c r="S132" s="3334"/>
      <c r="T132" s="3334"/>
      <c r="U132" s="3334"/>
      <c r="V132" s="3334"/>
      <c r="W132" s="3334"/>
      <c r="X132" s="3335"/>
    </row>
    <row r="133" spans="1:25" s="1559" customFormat="1" ht="21" customHeight="1" x14ac:dyDescent="0.2">
      <c r="A133" s="3352">
        <v>1</v>
      </c>
      <c r="B133" s="3337">
        <v>4</v>
      </c>
      <c r="C133" s="3345">
        <v>1</v>
      </c>
      <c r="D133" s="3304" t="s">
        <v>711</v>
      </c>
      <c r="E133" s="3347">
        <v>9</v>
      </c>
      <c r="F133" s="3348" t="s">
        <v>291</v>
      </c>
      <c r="G133" s="3431" t="s">
        <v>712</v>
      </c>
      <c r="H133" s="2179" t="s">
        <v>665</v>
      </c>
      <c r="I133" s="1565"/>
      <c r="J133" s="2163"/>
      <c r="K133" s="2163"/>
      <c r="L133" s="1566"/>
      <c r="M133" s="1565">
        <f t="shared" ref="M133:M135" si="115">N133+P133</f>
        <v>0</v>
      </c>
      <c r="N133" s="2163"/>
      <c r="O133" s="2163"/>
      <c r="P133" s="1566"/>
      <c r="Q133" s="1565"/>
      <c r="R133" s="2163"/>
      <c r="S133" s="2163"/>
      <c r="T133" s="1566"/>
      <c r="U133" s="1565"/>
      <c r="V133" s="2163"/>
      <c r="W133" s="2163"/>
      <c r="X133" s="1566"/>
    </row>
    <row r="134" spans="1:25" s="1559" customFormat="1" ht="21" customHeight="1" thickBot="1" x14ac:dyDescent="0.25">
      <c r="A134" s="3396"/>
      <c r="B134" s="3338"/>
      <c r="C134" s="3339"/>
      <c r="D134" s="3346"/>
      <c r="E134" s="3341"/>
      <c r="F134" s="3374"/>
      <c r="G134" s="3432"/>
      <c r="H134" s="1664" t="s">
        <v>30</v>
      </c>
      <c r="I134" s="1572"/>
      <c r="J134" s="2145"/>
      <c r="K134" s="2145"/>
      <c r="L134" s="1573"/>
      <c r="M134" s="1572">
        <f t="shared" si="115"/>
        <v>0</v>
      </c>
      <c r="N134" s="2145"/>
      <c r="O134" s="2145"/>
      <c r="P134" s="1573"/>
      <c r="Q134" s="1572"/>
      <c r="R134" s="2145"/>
      <c r="S134" s="2145"/>
      <c r="T134" s="1573"/>
      <c r="U134" s="1572"/>
      <c r="V134" s="2145"/>
      <c r="W134" s="2145"/>
      <c r="X134" s="1573"/>
    </row>
    <row r="135" spans="1:25" s="1559" customFormat="1" ht="19.5" customHeight="1" thickBot="1" x14ac:dyDescent="0.25">
      <c r="A135" s="3353"/>
      <c r="B135" s="3354"/>
      <c r="C135" s="3394"/>
      <c r="D135" s="3372"/>
      <c r="E135" s="3373"/>
      <c r="F135" s="3349" t="s">
        <v>35</v>
      </c>
      <c r="G135" s="3350"/>
      <c r="H135" s="3351"/>
      <c r="I135" s="1567">
        <f t="shared" ref="I135:I139" si="116">J135+L135</f>
        <v>0</v>
      </c>
      <c r="J135" s="1568">
        <f>SUM(J133:J133)</f>
        <v>0</v>
      </c>
      <c r="K135" s="1568">
        <f>SUM(K133:K133)</f>
        <v>0</v>
      </c>
      <c r="L135" s="1569">
        <f>SUM(L133:L133)</f>
        <v>0</v>
      </c>
      <c r="M135" s="1567">
        <f t="shared" si="115"/>
        <v>0</v>
      </c>
      <c r="N135" s="1568">
        <f>SUM(N133:N133)</f>
        <v>0</v>
      </c>
      <c r="O135" s="1568">
        <f>SUM(O133:O133)</f>
        <v>0</v>
      </c>
      <c r="P135" s="1569">
        <f>SUM(P133:P133)</f>
        <v>0</v>
      </c>
      <c r="Q135" s="1567">
        <f>R135+T135</f>
        <v>0</v>
      </c>
      <c r="R135" s="1568">
        <f>SUM(R133:R133)</f>
        <v>0</v>
      </c>
      <c r="S135" s="1568">
        <f>SUM(S133:S133)</f>
        <v>0</v>
      </c>
      <c r="T135" s="1569">
        <f>SUM(T133:T133)</f>
        <v>0</v>
      </c>
      <c r="U135" s="1567">
        <f>V135+X135</f>
        <v>0</v>
      </c>
      <c r="V135" s="1568">
        <f>SUM(V133:V133)</f>
        <v>0</v>
      </c>
      <c r="W135" s="1568">
        <f>SUM(W133:W133)</f>
        <v>0</v>
      </c>
      <c r="X135" s="1569">
        <f>SUM(X133:X133)</f>
        <v>0</v>
      </c>
    </row>
    <row r="136" spans="1:25" s="1559" customFormat="1" ht="21.75" customHeight="1" x14ac:dyDescent="0.2">
      <c r="A136" s="3352">
        <v>1</v>
      </c>
      <c r="B136" s="3337">
        <v>4</v>
      </c>
      <c r="C136" s="3345">
        <v>2</v>
      </c>
      <c r="D136" s="3304" t="s">
        <v>713</v>
      </c>
      <c r="E136" s="3347">
        <v>9</v>
      </c>
      <c r="F136" s="3348" t="s">
        <v>291</v>
      </c>
      <c r="G136" s="3397" t="s">
        <v>714</v>
      </c>
      <c r="H136" s="1615" t="s">
        <v>665</v>
      </c>
      <c r="I136" s="1565">
        <f t="shared" si="116"/>
        <v>79.099999999999994</v>
      </c>
      <c r="J136" s="2163">
        <v>0</v>
      </c>
      <c r="K136" s="2163">
        <v>0</v>
      </c>
      <c r="L136" s="1566">
        <f>83-3.9</f>
        <v>79.099999999999994</v>
      </c>
      <c r="M136" s="1565"/>
      <c r="N136" s="2163"/>
      <c r="O136" s="2163"/>
      <c r="P136" s="1566"/>
      <c r="Q136" s="1565"/>
      <c r="R136" s="2163"/>
      <c r="S136" s="2163"/>
      <c r="T136" s="1566"/>
      <c r="U136" s="1565"/>
      <c r="V136" s="2163"/>
      <c r="W136" s="2163"/>
      <c r="X136" s="1566"/>
    </row>
    <row r="137" spans="1:25" s="1559" customFormat="1" ht="21.75" customHeight="1" x14ac:dyDescent="0.2">
      <c r="A137" s="3396"/>
      <c r="B137" s="3338"/>
      <c r="C137" s="3339"/>
      <c r="D137" s="3346"/>
      <c r="E137" s="3341"/>
      <c r="F137" s="3342"/>
      <c r="G137" s="3398"/>
      <c r="H137" s="1573" t="s">
        <v>31</v>
      </c>
      <c r="I137" s="1565"/>
      <c r="J137" s="2163"/>
      <c r="K137" s="2163"/>
      <c r="L137" s="1566"/>
      <c r="M137" s="1565"/>
      <c r="N137" s="2163"/>
      <c r="O137" s="2163"/>
      <c r="P137" s="1566"/>
      <c r="Q137" s="1565"/>
      <c r="R137" s="2163"/>
      <c r="S137" s="2163"/>
      <c r="T137" s="1566"/>
      <c r="U137" s="1565"/>
      <c r="V137" s="2163"/>
      <c r="W137" s="2163"/>
      <c r="X137" s="1566"/>
    </row>
    <row r="138" spans="1:25" s="1559" customFormat="1" ht="21.75" customHeight="1" thickBot="1" x14ac:dyDescent="0.25">
      <c r="A138" s="3396"/>
      <c r="B138" s="3338"/>
      <c r="C138" s="3339"/>
      <c r="D138" s="3346"/>
      <c r="E138" s="3341"/>
      <c r="F138" s="3342"/>
      <c r="G138" s="3398"/>
      <c r="H138" s="1665" t="s">
        <v>30</v>
      </c>
      <c r="I138" s="1572">
        <v>3.4</v>
      </c>
      <c r="J138" s="2145"/>
      <c r="K138" s="2145"/>
      <c r="L138" s="1573">
        <v>3.4</v>
      </c>
      <c r="M138" s="1572"/>
      <c r="N138" s="2145"/>
      <c r="O138" s="2145"/>
      <c r="P138" s="1573"/>
      <c r="Q138" s="1572"/>
      <c r="R138" s="2145"/>
      <c r="S138" s="2145"/>
      <c r="T138" s="1573"/>
      <c r="U138" s="1572"/>
      <c r="V138" s="2145"/>
      <c r="W138" s="2145"/>
      <c r="X138" s="1573"/>
    </row>
    <row r="139" spans="1:25" s="1559" customFormat="1" ht="23.25" customHeight="1" thickBot="1" x14ac:dyDescent="0.25">
      <c r="A139" s="3353"/>
      <c r="B139" s="3354"/>
      <c r="C139" s="3394"/>
      <c r="D139" s="3372"/>
      <c r="E139" s="3373"/>
      <c r="F139" s="3349" t="s">
        <v>35</v>
      </c>
      <c r="G139" s="3350"/>
      <c r="H139" s="3351"/>
      <c r="I139" s="1605">
        <f t="shared" si="116"/>
        <v>82.5</v>
      </c>
      <c r="J139" s="1606">
        <f>SUM(J136)</f>
        <v>0</v>
      </c>
      <c r="K139" s="1606">
        <f>SUM(K136)</f>
        <v>0</v>
      </c>
      <c r="L139" s="1607">
        <f>SUM(L136+L137+L138)</f>
        <v>82.5</v>
      </c>
      <c r="M139" s="1605">
        <f t="shared" ref="M139:M169" si="117">N139+P139</f>
        <v>0</v>
      </c>
      <c r="N139" s="1606">
        <f>SUM(N136)</f>
        <v>0</v>
      </c>
      <c r="O139" s="1606">
        <f>SUM(O136)</f>
        <v>0</v>
      </c>
      <c r="P139" s="1607">
        <f>SUM(P136)</f>
        <v>0</v>
      </c>
      <c r="Q139" s="1605">
        <f t="shared" ref="Q139:Q169" si="118">R139+T139</f>
        <v>0</v>
      </c>
      <c r="R139" s="1606">
        <f>SUM(R136)</f>
        <v>0</v>
      </c>
      <c r="S139" s="1606">
        <f>SUM(S136)</f>
        <v>0</v>
      </c>
      <c r="T139" s="1607">
        <f>SUM(T136)</f>
        <v>0</v>
      </c>
      <c r="U139" s="1567">
        <f t="shared" ref="U139:U140" si="119">V139+X139</f>
        <v>0</v>
      </c>
      <c r="V139" s="1568">
        <f>SUM(V136)</f>
        <v>0</v>
      </c>
      <c r="W139" s="1568">
        <f>SUM(W136)</f>
        <v>0</v>
      </c>
      <c r="X139" s="1569">
        <f>SUM(X136)</f>
        <v>0</v>
      </c>
    </row>
    <row r="140" spans="1:25" s="1559" customFormat="1" ht="22.9" customHeight="1" x14ac:dyDescent="0.2">
      <c r="A140" s="3336">
        <v>1</v>
      </c>
      <c r="B140" s="3435">
        <v>4</v>
      </c>
      <c r="C140" s="3436">
        <v>3</v>
      </c>
      <c r="D140" s="3437" t="s">
        <v>715</v>
      </c>
      <c r="E140" s="3438">
        <v>9</v>
      </c>
      <c r="F140" s="3389" t="s">
        <v>291</v>
      </c>
      <c r="G140" s="3433" t="s">
        <v>716</v>
      </c>
      <c r="H140" s="1622" t="s">
        <v>665</v>
      </c>
      <c r="I140" s="2180">
        <f>J140+L140</f>
        <v>921.1</v>
      </c>
      <c r="J140" s="2178">
        <v>910.1</v>
      </c>
      <c r="K140" s="2071">
        <v>0</v>
      </c>
      <c r="L140" s="2179">
        <v>11</v>
      </c>
      <c r="M140" s="1666">
        <f t="shared" si="117"/>
        <v>2100</v>
      </c>
      <c r="N140" s="2178">
        <v>0</v>
      </c>
      <c r="O140" s="2178">
        <v>0</v>
      </c>
      <c r="P140" s="2179">
        <v>2100</v>
      </c>
      <c r="Q140" s="2180">
        <f t="shared" si="118"/>
        <v>3100</v>
      </c>
      <c r="R140" s="2178">
        <v>0</v>
      </c>
      <c r="S140" s="2178">
        <v>0</v>
      </c>
      <c r="T140" s="2179">
        <v>3100</v>
      </c>
      <c r="U140" s="2180">
        <f t="shared" si="119"/>
        <v>3050</v>
      </c>
      <c r="V140" s="2178">
        <v>0</v>
      </c>
      <c r="W140" s="2178">
        <v>0</v>
      </c>
      <c r="X140" s="2179">
        <v>3050</v>
      </c>
    </row>
    <row r="141" spans="1:25" s="1559" customFormat="1" ht="22.9" customHeight="1" x14ac:dyDescent="0.2">
      <c r="A141" s="3336"/>
      <c r="B141" s="3435"/>
      <c r="C141" s="3345"/>
      <c r="D141" s="3395"/>
      <c r="E141" s="3347"/>
      <c r="F141" s="3342"/>
      <c r="G141" s="3398"/>
      <c r="H141" s="1659" t="s">
        <v>32</v>
      </c>
      <c r="I141" s="2174">
        <v>50</v>
      </c>
      <c r="J141" s="2072"/>
      <c r="K141" s="2072"/>
      <c r="L141" s="2173">
        <v>50</v>
      </c>
      <c r="M141" s="2176">
        <f t="shared" si="117"/>
        <v>0</v>
      </c>
      <c r="N141" s="2176"/>
      <c r="O141" s="2172"/>
      <c r="P141" s="2173"/>
      <c r="Q141" s="2174"/>
      <c r="R141" s="2172"/>
      <c r="S141" s="2172"/>
      <c r="T141" s="2173"/>
      <c r="U141" s="2174"/>
      <c r="V141" s="2172"/>
      <c r="W141" s="2172"/>
      <c r="X141" s="2173"/>
    </row>
    <row r="142" spans="1:25" s="1559" customFormat="1" ht="22.9" customHeight="1" x14ac:dyDescent="0.2">
      <c r="A142" s="3336"/>
      <c r="B142" s="3435"/>
      <c r="C142" s="3345"/>
      <c r="D142" s="3395"/>
      <c r="E142" s="3347"/>
      <c r="F142" s="3342"/>
      <c r="G142" s="3398"/>
      <c r="H142" s="1621" t="s">
        <v>634</v>
      </c>
      <c r="I142" s="2175"/>
      <c r="J142" s="2073"/>
      <c r="K142" s="2073"/>
      <c r="L142" s="1597"/>
      <c r="M142" s="1624">
        <f t="shared" si="117"/>
        <v>176.8</v>
      </c>
      <c r="N142" s="2164"/>
      <c r="O142" s="2164"/>
      <c r="P142" s="2008">
        <v>176.8</v>
      </c>
      <c r="Q142" s="2175"/>
      <c r="R142" s="2164"/>
      <c r="S142" s="2164"/>
      <c r="T142" s="1597"/>
      <c r="U142" s="2175"/>
      <c r="V142" s="2164"/>
      <c r="W142" s="2164"/>
      <c r="X142" s="1597"/>
    </row>
    <row r="143" spans="1:25" s="1559" customFormat="1" ht="22.9" customHeight="1" thickBot="1" x14ac:dyDescent="0.25">
      <c r="A143" s="3336"/>
      <c r="B143" s="3435"/>
      <c r="C143" s="3345"/>
      <c r="D143" s="3395"/>
      <c r="E143" s="3347"/>
      <c r="F143" s="3390"/>
      <c r="G143" s="3434"/>
      <c r="H143" s="1616" t="s">
        <v>30</v>
      </c>
      <c r="I143" s="1667">
        <f t="shared" ref="I143" si="120">J143+L143</f>
        <v>15.6</v>
      </c>
      <c r="J143" s="1611"/>
      <c r="K143" s="1611"/>
      <c r="L143" s="1668">
        <v>15.6</v>
      </c>
      <c r="M143" s="1637">
        <f t="shared" si="117"/>
        <v>173.2</v>
      </c>
      <c r="N143" s="1611"/>
      <c r="O143" s="1611"/>
      <c r="P143" s="2007">
        <v>173.2</v>
      </c>
      <c r="Q143" s="1667">
        <f t="shared" si="118"/>
        <v>600</v>
      </c>
      <c r="R143" s="1611"/>
      <c r="S143" s="1611"/>
      <c r="T143" s="1668">
        <v>600</v>
      </c>
      <c r="U143" s="1667">
        <f t="shared" ref="U143:U145" si="121">V143+X143</f>
        <v>500</v>
      </c>
      <c r="V143" s="1611"/>
      <c r="W143" s="1611"/>
      <c r="X143" s="1668">
        <v>500</v>
      </c>
    </row>
    <row r="144" spans="1:25" s="1559" customFormat="1" ht="22.9" customHeight="1" thickBot="1" x14ac:dyDescent="0.25">
      <c r="A144" s="3336"/>
      <c r="B144" s="3435"/>
      <c r="C144" s="3345"/>
      <c r="D144" s="3395"/>
      <c r="E144" s="3347"/>
      <c r="F144" s="3349" t="s">
        <v>35</v>
      </c>
      <c r="G144" s="3350"/>
      <c r="H144" s="3351"/>
      <c r="I144" s="1567">
        <f>J144+L144</f>
        <v>986.7</v>
      </c>
      <c r="J144" s="1568">
        <f>SUM(J140:J143)</f>
        <v>910.1</v>
      </c>
      <c r="K144" s="1568">
        <f t="shared" ref="K144:L144" si="122">SUM(K140:K143)</f>
        <v>0</v>
      </c>
      <c r="L144" s="1568">
        <f t="shared" si="122"/>
        <v>76.599999999999994</v>
      </c>
      <c r="M144" s="1567">
        <f t="shared" si="117"/>
        <v>2450</v>
      </c>
      <c r="N144" s="1568">
        <f>SUM(N140:N143)</f>
        <v>0</v>
      </c>
      <c r="O144" s="1568">
        <f t="shared" ref="O144:P144" si="123">SUM(O140:O143)</f>
        <v>0</v>
      </c>
      <c r="P144" s="1568">
        <f t="shared" si="123"/>
        <v>2450</v>
      </c>
      <c r="Q144" s="1567">
        <f t="shared" si="118"/>
        <v>3700</v>
      </c>
      <c r="R144" s="1568">
        <f>SUM(R140:R143)</f>
        <v>0</v>
      </c>
      <c r="S144" s="1568">
        <f t="shared" ref="S144:T144" si="124">SUM(S140:S143)</f>
        <v>0</v>
      </c>
      <c r="T144" s="1568">
        <f t="shared" si="124"/>
        <v>3700</v>
      </c>
      <c r="U144" s="1567">
        <f t="shared" si="121"/>
        <v>3550</v>
      </c>
      <c r="V144" s="1568">
        <f>SUM(V140:V143)</f>
        <v>0</v>
      </c>
      <c r="W144" s="1568">
        <f t="shared" ref="W144:X144" si="125">SUM(W140:W143)</f>
        <v>0</v>
      </c>
      <c r="X144" s="1569">
        <f t="shared" si="125"/>
        <v>3550</v>
      </c>
    </row>
    <row r="145" spans="1:24" s="1559" customFormat="1" ht="29.25" customHeight="1" x14ac:dyDescent="0.2">
      <c r="A145" s="3336">
        <v>1</v>
      </c>
      <c r="B145" s="3435">
        <v>4</v>
      </c>
      <c r="C145" s="3436">
        <v>4</v>
      </c>
      <c r="D145" s="3437" t="s">
        <v>717</v>
      </c>
      <c r="E145" s="3438">
        <v>9</v>
      </c>
      <c r="F145" s="3342" t="s">
        <v>291</v>
      </c>
      <c r="G145" s="3398" t="s">
        <v>718</v>
      </c>
      <c r="H145" s="1669" t="s">
        <v>30</v>
      </c>
      <c r="I145" s="1599">
        <f t="shared" ref="I145" si="126">J145+L145</f>
        <v>97.1</v>
      </c>
      <c r="J145" s="1670"/>
      <c r="K145" s="1670"/>
      <c r="L145" s="1650">
        <v>97.1</v>
      </c>
      <c r="M145" s="1565">
        <f t="shared" si="117"/>
        <v>200</v>
      </c>
      <c r="N145" s="2163">
        <v>0</v>
      </c>
      <c r="O145" s="2163">
        <v>0</v>
      </c>
      <c r="P145" s="2005">
        <f>300-100</f>
        <v>200</v>
      </c>
      <c r="Q145" s="1624">
        <f t="shared" si="118"/>
        <v>600</v>
      </c>
      <c r="R145" s="2163"/>
      <c r="S145" s="2163"/>
      <c r="T145" s="1566">
        <v>600</v>
      </c>
      <c r="U145" s="1624">
        <f t="shared" si="121"/>
        <v>600</v>
      </c>
      <c r="V145" s="2163"/>
      <c r="W145" s="2163"/>
      <c r="X145" s="1566">
        <v>600</v>
      </c>
    </row>
    <row r="146" spans="1:24" s="1559" customFormat="1" ht="29.25" customHeight="1" x14ac:dyDescent="0.2">
      <c r="A146" s="3336"/>
      <c r="B146" s="3435"/>
      <c r="C146" s="3345"/>
      <c r="D146" s="3395"/>
      <c r="E146" s="3438"/>
      <c r="F146" s="3342"/>
      <c r="G146" s="3398"/>
      <c r="H146" s="1671" t="s">
        <v>99</v>
      </c>
      <c r="I146" s="1603">
        <f>J146+L146</f>
        <v>400</v>
      </c>
      <c r="J146" s="1672"/>
      <c r="K146" s="1672"/>
      <c r="L146" s="1671">
        <v>400</v>
      </c>
      <c r="M146" s="2174">
        <f t="shared" si="117"/>
        <v>0</v>
      </c>
      <c r="N146" s="2172"/>
      <c r="O146" s="2172"/>
      <c r="P146" s="2006"/>
      <c r="Q146" s="1624"/>
      <c r="R146" s="2163"/>
      <c r="S146" s="2163"/>
      <c r="T146" s="1566"/>
      <c r="U146" s="1624"/>
      <c r="V146" s="2163"/>
      <c r="W146" s="2163"/>
      <c r="X146" s="1566"/>
    </row>
    <row r="147" spans="1:24" s="1559" customFormat="1" ht="29.25" customHeight="1" x14ac:dyDescent="0.2">
      <c r="A147" s="3336"/>
      <c r="B147" s="3435"/>
      <c r="C147" s="3345"/>
      <c r="D147" s="3395"/>
      <c r="E147" s="3438"/>
      <c r="F147" s="3342"/>
      <c r="G147" s="3398"/>
      <c r="H147" s="1673" t="s">
        <v>32</v>
      </c>
      <c r="I147" s="2174">
        <v>260.7</v>
      </c>
      <c r="J147" s="2172"/>
      <c r="K147" s="2172"/>
      <c r="L147" s="2170">
        <v>260.7</v>
      </c>
      <c r="M147" s="2174">
        <f t="shared" si="117"/>
        <v>0</v>
      </c>
      <c r="N147" s="2172"/>
      <c r="O147" s="2172"/>
      <c r="P147" s="2006"/>
      <c r="Q147" s="1624"/>
      <c r="R147" s="2163"/>
      <c r="S147" s="2163"/>
      <c r="T147" s="1566"/>
      <c r="U147" s="1624"/>
      <c r="V147" s="2163"/>
      <c r="W147" s="2163"/>
      <c r="X147" s="1566"/>
    </row>
    <row r="148" spans="1:24" s="1559" customFormat="1" ht="29.25" customHeight="1" thickBot="1" x14ac:dyDescent="0.25">
      <c r="A148" s="3336"/>
      <c r="B148" s="3435"/>
      <c r="C148" s="3345"/>
      <c r="D148" s="3395"/>
      <c r="E148" s="3438"/>
      <c r="F148" s="3342"/>
      <c r="G148" s="3398"/>
      <c r="H148" s="1674" t="s">
        <v>634</v>
      </c>
      <c r="I148" s="1667">
        <f t="shared" ref="I148" si="127">J148+L148</f>
        <v>0</v>
      </c>
      <c r="J148" s="1611"/>
      <c r="K148" s="1611"/>
      <c r="L148" s="1675"/>
      <c r="M148" s="1667">
        <f t="shared" si="117"/>
        <v>700</v>
      </c>
      <c r="N148" s="1611"/>
      <c r="O148" s="1611"/>
      <c r="P148" s="2007">
        <v>700</v>
      </c>
      <c r="Q148" s="1624">
        <f t="shared" si="118"/>
        <v>0</v>
      </c>
      <c r="R148" s="2163"/>
      <c r="S148" s="2163"/>
      <c r="T148" s="1566"/>
      <c r="U148" s="1624">
        <f t="shared" ref="U148:U149" si="128">V148+X148</f>
        <v>0</v>
      </c>
      <c r="V148" s="2163"/>
      <c r="W148" s="2163"/>
      <c r="X148" s="1566"/>
    </row>
    <row r="149" spans="1:24" s="1559" customFormat="1" ht="29.25" customHeight="1" thickBot="1" x14ac:dyDescent="0.25">
      <c r="A149" s="3336"/>
      <c r="B149" s="3435"/>
      <c r="C149" s="3345"/>
      <c r="D149" s="3395"/>
      <c r="E149" s="3438"/>
      <c r="F149" s="3349" t="s">
        <v>35</v>
      </c>
      <c r="G149" s="3350"/>
      <c r="H149" s="3351"/>
      <c r="I149" s="1612">
        <f>J149+L149</f>
        <v>757.8</v>
      </c>
      <c r="J149" s="1613">
        <f>SUM(J145)</f>
        <v>0</v>
      </c>
      <c r="K149" s="1613">
        <f>SUM(K145)</f>
        <v>0</v>
      </c>
      <c r="L149" s="1614">
        <f>SUM(L145:L148)</f>
        <v>757.8</v>
      </c>
      <c r="M149" s="1567">
        <f t="shared" si="117"/>
        <v>900</v>
      </c>
      <c r="N149" s="1568">
        <f>SUM(N145)</f>
        <v>0</v>
      </c>
      <c r="O149" s="1568">
        <f>SUM(O145)</f>
        <v>0</v>
      </c>
      <c r="P149" s="1569">
        <f>SUM(P145:P148)</f>
        <v>900</v>
      </c>
      <c r="Q149" s="1567">
        <f t="shared" si="118"/>
        <v>600</v>
      </c>
      <c r="R149" s="1568">
        <f>SUM(R145)</f>
        <v>0</v>
      </c>
      <c r="S149" s="1568">
        <f>SUM(S145)</f>
        <v>0</v>
      </c>
      <c r="T149" s="1569">
        <f>SUM(T145)</f>
        <v>600</v>
      </c>
      <c r="U149" s="1567">
        <f t="shared" si="128"/>
        <v>600</v>
      </c>
      <c r="V149" s="1568">
        <f>SUM(V145)</f>
        <v>0</v>
      </c>
      <c r="W149" s="1568">
        <f>SUM(W145)</f>
        <v>0</v>
      </c>
      <c r="X149" s="1569">
        <f>SUM(X145)</f>
        <v>600</v>
      </c>
    </row>
    <row r="150" spans="1:24" s="1559" customFormat="1" ht="28.5" customHeight="1" x14ac:dyDescent="0.2">
      <c r="A150" s="3352">
        <v>1</v>
      </c>
      <c r="B150" s="3337">
        <v>4</v>
      </c>
      <c r="C150" s="3345">
        <v>5</v>
      </c>
      <c r="D150" s="3304" t="s">
        <v>719</v>
      </c>
      <c r="E150" s="3347">
        <v>9</v>
      </c>
      <c r="F150" s="3348" t="s">
        <v>291</v>
      </c>
      <c r="G150" s="3348" t="s">
        <v>720</v>
      </c>
      <c r="H150" s="1571" t="s">
        <v>30</v>
      </c>
      <c r="I150" s="1676">
        <f t="shared" ref="I150" si="129">J150+L150</f>
        <v>3.6</v>
      </c>
      <c r="J150" s="1677"/>
      <c r="K150" s="1677"/>
      <c r="L150" s="1617">
        <v>3.6</v>
      </c>
      <c r="M150" s="1676"/>
      <c r="N150" s="1677"/>
      <c r="O150" s="1677"/>
      <c r="P150" s="1617"/>
      <c r="Q150" s="1676"/>
      <c r="R150" s="1677"/>
      <c r="S150" s="1677"/>
      <c r="T150" s="1617"/>
      <c r="U150" s="1676"/>
      <c r="V150" s="1677"/>
      <c r="W150" s="1677"/>
      <c r="X150" s="1617"/>
    </row>
    <row r="151" spans="1:24" s="1681" customFormat="1" ht="28.5" customHeight="1" thickBot="1" x14ac:dyDescent="0.25">
      <c r="A151" s="3396"/>
      <c r="B151" s="3338"/>
      <c r="C151" s="3339"/>
      <c r="D151" s="3346"/>
      <c r="E151" s="3341"/>
      <c r="F151" s="3342"/>
      <c r="G151" s="3342"/>
      <c r="H151" s="1571" t="s">
        <v>665</v>
      </c>
      <c r="I151" s="1678">
        <f>J151+L151</f>
        <v>453.7</v>
      </c>
      <c r="J151" s="1679"/>
      <c r="K151" s="1679"/>
      <c r="L151" s="1680">
        <v>453.7</v>
      </c>
      <c r="M151" s="1678"/>
      <c r="N151" s="1679"/>
      <c r="O151" s="1679"/>
      <c r="P151" s="1680"/>
      <c r="Q151" s="1678"/>
      <c r="R151" s="1679"/>
      <c r="S151" s="1679"/>
      <c r="T151" s="1680"/>
      <c r="U151" s="1678"/>
      <c r="V151" s="1679"/>
      <c r="W151" s="1679"/>
      <c r="X151" s="1680"/>
    </row>
    <row r="152" spans="1:24" s="1559" customFormat="1" ht="28.5" hidden="1" customHeight="1" x14ac:dyDescent="0.2">
      <c r="A152" s="3396"/>
      <c r="B152" s="3338"/>
      <c r="C152" s="3339"/>
      <c r="D152" s="3346"/>
      <c r="E152" s="3341"/>
      <c r="F152" s="3374"/>
      <c r="G152" s="3374"/>
      <c r="H152" s="1571" t="s">
        <v>31</v>
      </c>
      <c r="I152" s="1682">
        <f t="shared" ref="I152" si="130">J152+L152</f>
        <v>0</v>
      </c>
      <c r="J152" s="2156"/>
      <c r="K152" s="2156"/>
      <c r="L152" s="1683"/>
      <c r="M152" s="1682">
        <f t="shared" si="117"/>
        <v>0</v>
      </c>
      <c r="N152" s="2156"/>
      <c r="O152" s="2156"/>
      <c r="P152" s="1683"/>
      <c r="Q152" s="1682">
        <f t="shared" si="118"/>
        <v>0</v>
      </c>
      <c r="R152" s="2156"/>
      <c r="S152" s="2156"/>
      <c r="T152" s="1683"/>
      <c r="U152" s="1682">
        <f t="shared" ref="U152:U156" si="131">V152+X152</f>
        <v>0</v>
      </c>
      <c r="V152" s="2156"/>
      <c r="W152" s="2156"/>
      <c r="X152" s="1683"/>
    </row>
    <row r="153" spans="1:24" s="1559" customFormat="1" ht="31.5" customHeight="1" thickBot="1" x14ac:dyDescent="0.25">
      <c r="A153" s="3353"/>
      <c r="B153" s="3354"/>
      <c r="C153" s="3394"/>
      <c r="D153" s="3372"/>
      <c r="E153" s="3373"/>
      <c r="F153" s="3349" t="s">
        <v>35</v>
      </c>
      <c r="G153" s="3350"/>
      <c r="H153" s="3351"/>
      <c r="I153" s="1567">
        <f>J153+L153</f>
        <v>457.3</v>
      </c>
      <c r="J153" s="1568">
        <f>J150</f>
        <v>0</v>
      </c>
      <c r="K153" s="1568">
        <f>K150</f>
        <v>0</v>
      </c>
      <c r="L153" s="1569">
        <f>L150+L152+L151</f>
        <v>457.3</v>
      </c>
      <c r="M153" s="1567">
        <f t="shared" si="117"/>
        <v>0</v>
      </c>
      <c r="N153" s="1568">
        <f>N150</f>
        <v>0</v>
      </c>
      <c r="O153" s="1568">
        <f>O150</f>
        <v>0</v>
      </c>
      <c r="P153" s="1569">
        <f>P150</f>
        <v>0</v>
      </c>
      <c r="Q153" s="1567">
        <f t="shared" si="118"/>
        <v>0</v>
      </c>
      <c r="R153" s="1568">
        <f>R150</f>
        <v>0</v>
      </c>
      <c r="S153" s="1568">
        <f>S150</f>
        <v>0</v>
      </c>
      <c r="T153" s="1569">
        <f>T150</f>
        <v>0</v>
      </c>
      <c r="U153" s="1567">
        <f t="shared" si="131"/>
        <v>0</v>
      </c>
      <c r="V153" s="1568">
        <f>V150</f>
        <v>0</v>
      </c>
      <c r="W153" s="1568">
        <f>W150</f>
        <v>0</v>
      </c>
      <c r="X153" s="1569">
        <f>X150</f>
        <v>0</v>
      </c>
    </row>
    <row r="154" spans="1:24" s="1559" customFormat="1" ht="24" customHeight="1" x14ac:dyDescent="0.2">
      <c r="A154" s="3352">
        <v>1</v>
      </c>
      <c r="B154" s="3337">
        <v>4</v>
      </c>
      <c r="C154" s="3345">
        <v>6</v>
      </c>
      <c r="D154" s="3340" t="s">
        <v>721</v>
      </c>
      <c r="E154" s="3341">
        <v>9</v>
      </c>
      <c r="F154" s="3348" t="s">
        <v>291</v>
      </c>
      <c r="G154" s="3348" t="s">
        <v>1342</v>
      </c>
      <c r="H154" s="2179" t="s">
        <v>30</v>
      </c>
      <c r="I154" s="1676">
        <f t="shared" ref="I154:I155" si="132">J154+L154</f>
        <v>0</v>
      </c>
      <c r="J154" s="1677"/>
      <c r="K154" s="1677"/>
      <c r="L154" s="1617"/>
      <c r="M154" s="1676">
        <f t="shared" si="117"/>
        <v>50</v>
      </c>
      <c r="N154" s="1677"/>
      <c r="O154" s="1677"/>
      <c r="P154" s="2003">
        <v>50</v>
      </c>
      <c r="Q154" s="1676">
        <f t="shared" si="118"/>
        <v>150</v>
      </c>
      <c r="R154" s="1677"/>
      <c r="S154" s="1677"/>
      <c r="T154" s="1617">
        <v>150</v>
      </c>
      <c r="U154" s="1676">
        <f t="shared" si="131"/>
        <v>150</v>
      </c>
      <c r="V154" s="1677"/>
      <c r="W154" s="1677"/>
      <c r="X154" s="1617">
        <v>150</v>
      </c>
    </row>
    <row r="155" spans="1:24" s="1559" customFormat="1" ht="22.5" customHeight="1" thickBot="1" x14ac:dyDescent="0.25">
      <c r="A155" s="3396"/>
      <c r="B155" s="3338"/>
      <c r="C155" s="3339"/>
      <c r="D155" s="3340"/>
      <c r="E155" s="3341"/>
      <c r="F155" s="3374"/>
      <c r="G155" s="3374"/>
      <c r="H155" s="1654" t="s">
        <v>634</v>
      </c>
      <c r="I155" s="1682">
        <f t="shared" si="132"/>
        <v>0</v>
      </c>
      <c r="J155" s="2156"/>
      <c r="K155" s="2156"/>
      <c r="L155" s="1683"/>
      <c r="M155" s="1682">
        <f t="shared" si="117"/>
        <v>100</v>
      </c>
      <c r="N155" s="2156"/>
      <c r="O155" s="2156"/>
      <c r="P155" s="2004">
        <v>100</v>
      </c>
      <c r="Q155" s="1682">
        <f t="shared" si="118"/>
        <v>0</v>
      </c>
      <c r="R155" s="2156"/>
      <c r="S155" s="2156"/>
      <c r="T155" s="1683"/>
      <c r="U155" s="1682">
        <f t="shared" si="131"/>
        <v>0</v>
      </c>
      <c r="V155" s="2156"/>
      <c r="W155" s="2156"/>
      <c r="X155" s="1683"/>
    </row>
    <row r="156" spans="1:24" s="1559" customFormat="1" ht="31.5" customHeight="1" thickBot="1" x14ac:dyDescent="0.25">
      <c r="A156" s="3353"/>
      <c r="B156" s="3354"/>
      <c r="C156" s="3394"/>
      <c r="D156" s="3400"/>
      <c r="E156" s="3373"/>
      <c r="F156" s="3349" t="s">
        <v>35</v>
      </c>
      <c r="G156" s="3350"/>
      <c r="H156" s="3351"/>
      <c r="I156" s="1567">
        <f>J156+L156</f>
        <v>0</v>
      </c>
      <c r="J156" s="1568">
        <f>J154</f>
        <v>0</v>
      </c>
      <c r="K156" s="1568">
        <f>K154</f>
        <v>0</v>
      </c>
      <c r="L156" s="1569">
        <f>L154</f>
        <v>0</v>
      </c>
      <c r="M156" s="1567">
        <f t="shared" si="117"/>
        <v>150</v>
      </c>
      <c r="N156" s="1568">
        <f>N154</f>
        <v>0</v>
      </c>
      <c r="O156" s="1568">
        <f>O154</f>
        <v>0</v>
      </c>
      <c r="P156" s="1569">
        <f>P154+P155</f>
        <v>150</v>
      </c>
      <c r="Q156" s="1567">
        <f t="shared" si="118"/>
        <v>150</v>
      </c>
      <c r="R156" s="1568">
        <f>R154</f>
        <v>0</v>
      </c>
      <c r="S156" s="1568">
        <f>S154</f>
        <v>0</v>
      </c>
      <c r="T156" s="1569">
        <f>T154</f>
        <v>150</v>
      </c>
      <c r="U156" s="1567">
        <f t="shared" si="131"/>
        <v>150</v>
      </c>
      <c r="V156" s="1568">
        <f>V154</f>
        <v>0</v>
      </c>
      <c r="W156" s="1568">
        <f>W154</f>
        <v>0</v>
      </c>
      <c r="X156" s="1569">
        <f>X154</f>
        <v>150</v>
      </c>
    </row>
    <row r="157" spans="1:24" s="1559" customFormat="1" ht="20.25" customHeight="1" x14ac:dyDescent="0.2">
      <c r="A157" s="3352">
        <v>1</v>
      </c>
      <c r="B157" s="3337">
        <v>4</v>
      </c>
      <c r="C157" s="3345">
        <v>7</v>
      </c>
      <c r="D157" s="3304" t="s">
        <v>722</v>
      </c>
      <c r="E157" s="3347">
        <v>9</v>
      </c>
      <c r="F157" s="3342" t="s">
        <v>291</v>
      </c>
      <c r="G157" s="3398" t="s">
        <v>723</v>
      </c>
      <c r="H157" s="1617" t="s">
        <v>665</v>
      </c>
      <c r="I157" s="1565"/>
      <c r="J157" s="2163"/>
      <c r="K157" s="2163"/>
      <c r="L157" s="1566"/>
      <c r="M157" s="1565"/>
      <c r="N157" s="2163"/>
      <c r="O157" s="2163"/>
      <c r="P157" s="1566"/>
      <c r="Q157" s="1565"/>
      <c r="R157" s="2163"/>
      <c r="S157" s="2163"/>
      <c r="T157" s="1566"/>
      <c r="U157" s="1565"/>
      <c r="V157" s="2163"/>
      <c r="W157" s="2163"/>
      <c r="X157" s="1566"/>
    </row>
    <row r="158" spans="1:24" s="1559" customFormat="1" ht="20.25" customHeight="1" x14ac:dyDescent="0.2">
      <c r="A158" s="3396"/>
      <c r="B158" s="3338"/>
      <c r="C158" s="3339"/>
      <c r="D158" s="3346"/>
      <c r="E158" s="3341"/>
      <c r="F158" s="3342"/>
      <c r="G158" s="3398"/>
      <c r="H158" s="1659" t="s">
        <v>193</v>
      </c>
      <c r="I158" s="1565">
        <f t="shared" ref="I158" si="133">J158+L158</f>
        <v>208.4</v>
      </c>
      <c r="J158" s="2172"/>
      <c r="K158" s="2172"/>
      <c r="L158" s="2173">
        <v>208.4</v>
      </c>
      <c r="M158" s="2174"/>
      <c r="N158" s="2172"/>
      <c r="O158" s="2172"/>
      <c r="P158" s="2173"/>
      <c r="Q158" s="2174"/>
      <c r="R158" s="2172"/>
      <c r="S158" s="2172"/>
      <c r="T158" s="2173"/>
      <c r="U158" s="2174"/>
      <c r="V158" s="2172"/>
      <c r="W158" s="2172"/>
      <c r="X158" s="2173"/>
    </row>
    <row r="159" spans="1:24" s="1559" customFormat="1" ht="20.25" customHeight="1" thickBot="1" x14ac:dyDescent="0.25">
      <c r="A159" s="3396"/>
      <c r="B159" s="3338"/>
      <c r="C159" s="3339"/>
      <c r="D159" s="3346"/>
      <c r="E159" s="3341"/>
      <c r="F159" s="3342"/>
      <c r="G159" s="3398"/>
      <c r="H159" s="1621" t="s">
        <v>30</v>
      </c>
      <c r="I159" s="1572"/>
      <c r="J159" s="2145"/>
      <c r="K159" s="2145"/>
      <c r="L159" s="1573"/>
      <c r="M159" s="1572"/>
      <c r="N159" s="2145"/>
      <c r="O159" s="2145"/>
      <c r="P159" s="1573"/>
      <c r="Q159" s="1572"/>
      <c r="R159" s="2145"/>
      <c r="S159" s="2145"/>
      <c r="T159" s="1573"/>
      <c r="U159" s="1572"/>
      <c r="V159" s="2145"/>
      <c r="W159" s="2145"/>
      <c r="X159" s="1573"/>
    </row>
    <row r="160" spans="1:24" s="1559" customFormat="1" ht="20.25" customHeight="1" thickBot="1" x14ac:dyDescent="0.25">
      <c r="A160" s="3353"/>
      <c r="B160" s="3354"/>
      <c r="C160" s="3339"/>
      <c r="D160" s="3346"/>
      <c r="E160" s="3373"/>
      <c r="F160" s="3349" t="s">
        <v>35</v>
      </c>
      <c r="G160" s="3350"/>
      <c r="H160" s="3351"/>
      <c r="I160" s="1567">
        <f>J160+L160</f>
        <v>208.4</v>
      </c>
      <c r="J160" s="1568"/>
      <c r="K160" s="1568"/>
      <c r="L160" s="1569">
        <f>L159+L157+L158</f>
        <v>208.4</v>
      </c>
      <c r="M160" s="1567">
        <f t="shared" si="117"/>
        <v>0</v>
      </c>
      <c r="N160" s="1568"/>
      <c r="O160" s="1568"/>
      <c r="P160" s="1569">
        <f>P159+P157+P158</f>
        <v>0</v>
      </c>
      <c r="Q160" s="1567">
        <f t="shared" si="118"/>
        <v>0</v>
      </c>
      <c r="R160" s="1568"/>
      <c r="S160" s="1568"/>
      <c r="T160" s="1569">
        <f>T159+T157+T158</f>
        <v>0</v>
      </c>
      <c r="U160" s="1567">
        <f t="shared" ref="U160:U169" si="134">V160+X160</f>
        <v>0</v>
      </c>
      <c r="V160" s="1568"/>
      <c r="W160" s="1568"/>
      <c r="X160" s="1569">
        <f>X159+X157+X158</f>
        <v>0</v>
      </c>
    </row>
    <row r="161" spans="1:24" s="1559" customFormat="1" ht="29.25" customHeight="1" thickBot="1" x14ac:dyDescent="0.25">
      <c r="A161" s="3336">
        <v>1</v>
      </c>
      <c r="B161" s="3435">
        <v>4</v>
      </c>
      <c r="C161" s="3436">
        <v>8</v>
      </c>
      <c r="D161" s="3439" t="s">
        <v>724</v>
      </c>
      <c r="E161" s="3436">
        <v>9</v>
      </c>
      <c r="F161" s="1684" t="s">
        <v>291</v>
      </c>
      <c r="G161" s="2166" t="s">
        <v>725</v>
      </c>
      <c r="H161" s="1619" t="s">
        <v>30</v>
      </c>
      <c r="I161" s="1565">
        <f t="shared" ref="I161" si="135">J161+L161</f>
        <v>0</v>
      </c>
      <c r="J161" s="2163"/>
      <c r="K161" s="2163"/>
      <c r="L161" s="1566"/>
      <c r="M161" s="1565">
        <f t="shared" si="117"/>
        <v>60</v>
      </c>
      <c r="N161" s="2163"/>
      <c r="O161" s="2163"/>
      <c r="P161" s="1566">
        <v>60</v>
      </c>
      <c r="Q161" s="1565">
        <f t="shared" si="118"/>
        <v>100</v>
      </c>
      <c r="R161" s="2163"/>
      <c r="S161" s="2163"/>
      <c r="T161" s="1566">
        <v>100</v>
      </c>
      <c r="U161" s="1565">
        <f t="shared" si="134"/>
        <v>100</v>
      </c>
      <c r="V161" s="2163"/>
      <c r="W161" s="2163"/>
      <c r="X161" s="1566">
        <v>100</v>
      </c>
    </row>
    <row r="162" spans="1:24" s="1559" customFormat="1" ht="29.25" customHeight="1" thickBot="1" x14ac:dyDescent="0.25">
      <c r="A162" s="3336"/>
      <c r="B162" s="3435"/>
      <c r="C162" s="3345"/>
      <c r="D162" s="3355"/>
      <c r="E162" s="3438"/>
      <c r="F162" s="3349" t="s">
        <v>35</v>
      </c>
      <c r="G162" s="3350"/>
      <c r="H162" s="3351"/>
      <c r="I162" s="1567">
        <f>J162+L162</f>
        <v>0</v>
      </c>
      <c r="J162" s="1568">
        <f>SUM(J161)</f>
        <v>0</v>
      </c>
      <c r="K162" s="1568">
        <f>SUM(K161)</f>
        <v>0</v>
      </c>
      <c r="L162" s="1569">
        <f>SUM(L161)</f>
        <v>0</v>
      </c>
      <c r="M162" s="1567">
        <f t="shared" si="117"/>
        <v>60</v>
      </c>
      <c r="N162" s="1568">
        <f>SUM(N161)</f>
        <v>0</v>
      </c>
      <c r="O162" s="1568">
        <f>SUM(O161)</f>
        <v>0</v>
      </c>
      <c r="P162" s="1569">
        <f>SUM(P161)</f>
        <v>60</v>
      </c>
      <c r="Q162" s="1567">
        <f t="shared" si="118"/>
        <v>100</v>
      </c>
      <c r="R162" s="1568">
        <f>SUM(R161)</f>
        <v>0</v>
      </c>
      <c r="S162" s="1568">
        <f>SUM(S161)</f>
        <v>0</v>
      </c>
      <c r="T162" s="1569">
        <f>SUM(T161)</f>
        <v>100</v>
      </c>
      <c r="U162" s="1567">
        <f t="shared" si="134"/>
        <v>100</v>
      </c>
      <c r="V162" s="1568">
        <f>SUM(V161)</f>
        <v>0</v>
      </c>
      <c r="W162" s="1568">
        <f>SUM(W161)</f>
        <v>0</v>
      </c>
      <c r="X162" s="1569">
        <f>SUM(X161)</f>
        <v>100</v>
      </c>
    </row>
    <row r="163" spans="1:24" s="1559" customFormat="1" ht="20.45" customHeight="1" thickBot="1" x14ac:dyDescent="0.25">
      <c r="A163" s="3336">
        <v>1</v>
      </c>
      <c r="B163" s="3435">
        <v>4</v>
      </c>
      <c r="C163" s="3436">
        <v>9</v>
      </c>
      <c r="D163" s="3437" t="s">
        <v>726</v>
      </c>
      <c r="E163" s="3436">
        <v>9</v>
      </c>
      <c r="F163" s="1684" t="s">
        <v>291</v>
      </c>
      <c r="G163" s="2166" t="s">
        <v>1343</v>
      </c>
      <c r="H163" s="1619" t="s">
        <v>30</v>
      </c>
      <c r="I163" s="1565">
        <f t="shared" ref="I163" si="136">J163+L163</f>
        <v>0</v>
      </c>
      <c r="J163" s="2163"/>
      <c r="K163" s="2163"/>
      <c r="L163" s="1566"/>
      <c r="M163" s="1565">
        <f t="shared" si="117"/>
        <v>215</v>
      </c>
      <c r="N163" s="2163"/>
      <c r="O163" s="2163"/>
      <c r="P163" s="1566">
        <v>215</v>
      </c>
      <c r="Q163" s="1565">
        <f t="shared" si="118"/>
        <v>490</v>
      </c>
      <c r="R163" s="2163"/>
      <c r="S163" s="2163"/>
      <c r="T163" s="1566">
        <v>490</v>
      </c>
      <c r="U163" s="1565">
        <f t="shared" si="134"/>
        <v>450</v>
      </c>
      <c r="V163" s="2163"/>
      <c r="W163" s="2163"/>
      <c r="X163" s="1566">
        <v>450</v>
      </c>
    </row>
    <row r="164" spans="1:24" s="1559" customFormat="1" ht="20.45" customHeight="1" thickBot="1" x14ac:dyDescent="0.25">
      <c r="A164" s="3336"/>
      <c r="B164" s="3435"/>
      <c r="C164" s="3345"/>
      <c r="D164" s="3395"/>
      <c r="E164" s="3438"/>
      <c r="F164" s="3349" t="s">
        <v>35</v>
      </c>
      <c r="G164" s="3350"/>
      <c r="H164" s="3351"/>
      <c r="I164" s="1567">
        <f>J164+L164</f>
        <v>0</v>
      </c>
      <c r="J164" s="1568">
        <f>SUM(J163)</f>
        <v>0</v>
      </c>
      <c r="K164" s="1568">
        <f>SUM(K163)</f>
        <v>0</v>
      </c>
      <c r="L164" s="1569">
        <f>SUM(L163)</f>
        <v>0</v>
      </c>
      <c r="M164" s="1567">
        <f t="shared" si="117"/>
        <v>215</v>
      </c>
      <c r="N164" s="1568">
        <f>SUM(N163)</f>
        <v>0</v>
      </c>
      <c r="O164" s="1568">
        <f>SUM(O163)</f>
        <v>0</v>
      </c>
      <c r="P164" s="1569">
        <f>SUM(P163)</f>
        <v>215</v>
      </c>
      <c r="Q164" s="1567">
        <f t="shared" si="118"/>
        <v>490</v>
      </c>
      <c r="R164" s="1568">
        <f>SUM(R163)</f>
        <v>0</v>
      </c>
      <c r="S164" s="1568">
        <f>SUM(S163)</f>
        <v>0</v>
      </c>
      <c r="T164" s="1569">
        <f>SUM(T163)</f>
        <v>490</v>
      </c>
      <c r="U164" s="1567">
        <f t="shared" si="134"/>
        <v>450</v>
      </c>
      <c r="V164" s="1568">
        <f>SUM(V163)</f>
        <v>0</v>
      </c>
      <c r="W164" s="1568">
        <f>SUM(W163)</f>
        <v>0</v>
      </c>
      <c r="X164" s="1569">
        <f>SUM(X163)</f>
        <v>450</v>
      </c>
    </row>
    <row r="165" spans="1:24" s="1562" customFormat="1" ht="17.25" customHeight="1" thickBot="1" x14ac:dyDescent="0.25">
      <c r="A165" s="3375">
        <v>1</v>
      </c>
      <c r="B165" s="3377">
        <v>4</v>
      </c>
      <c r="C165" s="3349" t="s">
        <v>659</v>
      </c>
      <c r="D165" s="3350"/>
      <c r="E165" s="3350"/>
      <c r="F165" s="3350"/>
      <c r="G165" s="3350"/>
      <c r="H165" s="3351"/>
      <c r="I165" s="1589">
        <f>J165+L165</f>
        <v>119.69999999999999</v>
      </c>
      <c r="J165" s="1590">
        <f>SUM(J163,J161,J159,J154,J150,J145,J143,J138,J134)</f>
        <v>0</v>
      </c>
      <c r="K165" s="1590">
        <f t="shared" ref="K165:L165" si="137">SUM(K163,K161,K159,K154,K150,K145,K143,K138,K134)</f>
        <v>0</v>
      </c>
      <c r="L165" s="1590">
        <f t="shared" si="137"/>
        <v>119.69999999999999</v>
      </c>
      <c r="M165" s="1589">
        <f t="shared" si="117"/>
        <v>698.2</v>
      </c>
      <c r="N165" s="1590">
        <f>SUM(N163,N161,N159,N154,N150,N145,N143,N138,N134)</f>
        <v>0</v>
      </c>
      <c r="O165" s="1590">
        <f t="shared" ref="O165" si="138">SUM(O163,O161,O159,O154,O150,O145,O143,O138,O134)</f>
        <v>0</v>
      </c>
      <c r="P165" s="1590">
        <f>SUM(P163,P161,P159,P154,P150,P145,P143,P138,P134)</f>
        <v>698.2</v>
      </c>
      <c r="Q165" s="1589">
        <f t="shared" si="118"/>
        <v>1940</v>
      </c>
      <c r="R165" s="1590">
        <f>SUM(R163,R161,R159,R154,R150,R145,R143,R138,R134)</f>
        <v>0</v>
      </c>
      <c r="S165" s="1590">
        <f t="shared" ref="S165:T165" si="139">SUM(S163,S161,S159,S154,S150,S145,S143,S138,S134)</f>
        <v>0</v>
      </c>
      <c r="T165" s="1590">
        <f t="shared" si="139"/>
        <v>1940</v>
      </c>
      <c r="U165" s="1589">
        <f t="shared" si="134"/>
        <v>1800</v>
      </c>
      <c r="V165" s="1590">
        <f>SUM(V163,V161,V159,V154,V150,V145,V143,V138,V134)</f>
        <v>0</v>
      </c>
      <c r="W165" s="1590">
        <f t="shared" ref="W165:X165" si="140">SUM(W163,W161,W159,W154,W150,W145,W143,W138,W134)</f>
        <v>0</v>
      </c>
      <c r="X165" s="1591">
        <f t="shared" si="140"/>
        <v>1800</v>
      </c>
    </row>
    <row r="166" spans="1:24" s="1562" customFormat="1" ht="19.5" customHeight="1" thickBot="1" x14ac:dyDescent="0.25">
      <c r="A166" s="3376"/>
      <c r="B166" s="3378"/>
      <c r="C166" s="3349" t="s">
        <v>668</v>
      </c>
      <c r="D166" s="3350"/>
      <c r="E166" s="3350"/>
      <c r="F166" s="3350"/>
      <c r="G166" s="3350"/>
      <c r="H166" s="3351"/>
      <c r="I166" s="1660">
        <f>J166+L166</f>
        <v>1374.8</v>
      </c>
      <c r="J166" s="1639">
        <f>SUM(J157,J151,J140,J133)</f>
        <v>910.1</v>
      </c>
      <c r="K166" s="1639">
        <f t="shared" ref="K166:L166" si="141">SUM(K157,K151,K140,K133)</f>
        <v>0</v>
      </c>
      <c r="L166" s="1639">
        <f t="shared" si="141"/>
        <v>464.7</v>
      </c>
      <c r="M166" s="1660">
        <f t="shared" si="117"/>
        <v>2100</v>
      </c>
      <c r="N166" s="1639">
        <f>SUM(N157,N151,N140,N133)</f>
        <v>0</v>
      </c>
      <c r="O166" s="1639">
        <f t="shared" ref="O166" si="142">SUM(O157,O151,O140,O133)</f>
        <v>0</v>
      </c>
      <c r="P166" s="1639">
        <f>SUM(P157,P151,P140,P133)</f>
        <v>2100</v>
      </c>
      <c r="Q166" s="1660">
        <f t="shared" si="118"/>
        <v>3100</v>
      </c>
      <c r="R166" s="1639">
        <f>SUM(R157,R151,R140,R133)</f>
        <v>0</v>
      </c>
      <c r="S166" s="1639">
        <f t="shared" ref="S166:T166" si="143">SUM(S157,S151,S140,S133)</f>
        <v>0</v>
      </c>
      <c r="T166" s="1639">
        <f t="shared" si="143"/>
        <v>3100</v>
      </c>
      <c r="U166" s="1660">
        <f t="shared" si="134"/>
        <v>3050</v>
      </c>
      <c r="V166" s="1639">
        <f>SUM(V157,V151,V140,V133)</f>
        <v>0</v>
      </c>
      <c r="W166" s="1639">
        <f t="shared" ref="W166:X166" si="144">SUM(W157,W151,W140,W133)</f>
        <v>0</v>
      </c>
      <c r="X166" s="1661">
        <f t="shared" si="144"/>
        <v>3050</v>
      </c>
    </row>
    <row r="167" spans="1:24" s="1562" customFormat="1" ht="19.5" customHeight="1" thickBot="1" x14ac:dyDescent="0.25">
      <c r="A167" s="1598"/>
      <c r="B167" s="1563"/>
      <c r="C167" s="2157"/>
      <c r="D167" s="2158"/>
      <c r="E167" s="2158"/>
      <c r="F167" s="2158"/>
      <c r="G167" s="3350" t="s">
        <v>660</v>
      </c>
      <c r="H167" s="3351"/>
      <c r="I167" s="1589"/>
      <c r="J167" s="1590"/>
      <c r="K167" s="1590"/>
      <c r="L167" s="1591"/>
      <c r="M167" s="1660">
        <f t="shared" si="117"/>
        <v>800</v>
      </c>
      <c r="N167" s="1590"/>
      <c r="O167" s="1590"/>
      <c r="P167" s="1590">
        <f>P148+P155</f>
        <v>800</v>
      </c>
      <c r="Q167" s="1589"/>
      <c r="R167" s="1590"/>
      <c r="S167" s="1590"/>
      <c r="T167" s="1591"/>
      <c r="U167" s="1582"/>
      <c r="V167" s="1578"/>
      <c r="W167" s="1578"/>
      <c r="X167" s="1581"/>
    </row>
    <row r="168" spans="1:24" s="1562" customFormat="1" ht="19.5" customHeight="1" thickBot="1" x14ac:dyDescent="0.25">
      <c r="A168" s="1598"/>
      <c r="B168" s="1563"/>
      <c r="C168" s="2157"/>
      <c r="D168" s="2158"/>
      <c r="E168" s="2158"/>
      <c r="F168" s="2158"/>
      <c r="G168" s="3350" t="s">
        <v>708</v>
      </c>
      <c r="H168" s="3351"/>
      <c r="I168" s="1685"/>
      <c r="J168" s="1686"/>
      <c r="K168" s="1686"/>
      <c r="L168" s="1686"/>
      <c r="M168" s="1660">
        <f t="shared" si="117"/>
        <v>0</v>
      </c>
      <c r="N168" s="1686"/>
      <c r="O168" s="1686"/>
      <c r="P168" s="1686">
        <f>P141</f>
        <v>0</v>
      </c>
      <c r="Q168" s="1685"/>
      <c r="R168" s="1686"/>
      <c r="S168" s="1686"/>
      <c r="T168" s="1686"/>
      <c r="U168" s="1685"/>
      <c r="V168" s="1686"/>
      <c r="W168" s="1686"/>
      <c r="X168" s="1687"/>
    </row>
    <row r="169" spans="1:24" s="1562" customFormat="1" ht="17.25" customHeight="1" thickBot="1" x14ac:dyDescent="0.25">
      <c r="A169" s="1598">
        <v>1</v>
      </c>
      <c r="B169" s="1688" t="s">
        <v>727</v>
      </c>
      <c r="C169" s="3363" t="s">
        <v>234</v>
      </c>
      <c r="D169" s="3364"/>
      <c r="E169" s="3364"/>
      <c r="F169" s="3364"/>
      <c r="G169" s="3364"/>
      <c r="H169" s="3365"/>
      <c r="I169" s="1689">
        <f>J169+L169</f>
        <v>2492.6999999999998</v>
      </c>
      <c r="J169" s="1594">
        <f>SUM(J164,J162,J160,J156,J153,J149,J144,J139,J135)</f>
        <v>910.1</v>
      </c>
      <c r="K169" s="1594">
        <f t="shared" ref="K169:L169" si="145">SUM(K164,K162,K160,K156,K153,K149,K144,K139,K135)</f>
        <v>0</v>
      </c>
      <c r="L169" s="1594">
        <f t="shared" si="145"/>
        <v>1582.6</v>
      </c>
      <c r="M169" s="1689">
        <f t="shared" si="117"/>
        <v>3775</v>
      </c>
      <c r="N169" s="1594">
        <f>SUM(N164,N162,N160,N156,N153,N149,N144,N139,N135)</f>
        <v>0</v>
      </c>
      <c r="O169" s="1594">
        <f t="shared" ref="O169" si="146">SUM(O164,O162,O160,O156,O153,O149,O144,O139,O135)</f>
        <v>0</v>
      </c>
      <c r="P169" s="1594">
        <f>SUM(P164,P162,P160,P156,P153,P149,P144,P139,P135)</f>
        <v>3775</v>
      </c>
      <c r="Q169" s="1689">
        <f t="shared" si="118"/>
        <v>5040</v>
      </c>
      <c r="R169" s="1594">
        <f>SUM(R164,R162,R160,R156,R153,R149,R144,R139,R135)</f>
        <v>0</v>
      </c>
      <c r="S169" s="1594">
        <f t="shared" ref="S169:T169" si="147">SUM(S164,S162,S160,S156,S153,S149,S144,S139,S135)</f>
        <v>0</v>
      </c>
      <c r="T169" s="1594">
        <f t="shared" si="147"/>
        <v>5040</v>
      </c>
      <c r="U169" s="1689">
        <f t="shared" si="134"/>
        <v>4850</v>
      </c>
      <c r="V169" s="1594">
        <f>SUM(V164,V162,V160,V156,V153,V149,V144,V139,V135)</f>
        <v>0</v>
      </c>
      <c r="W169" s="1594">
        <f t="shared" ref="W169:X169" si="148">SUM(W164,W162,W160,W156,W153,W149,W144,W139,W135)</f>
        <v>0</v>
      </c>
      <c r="X169" s="1690">
        <f t="shared" si="148"/>
        <v>4850</v>
      </c>
    </row>
    <row r="170" spans="1:24" s="1559" customFormat="1" ht="12" thickBot="1" x14ac:dyDescent="0.25">
      <c r="A170" s="2162">
        <v>1</v>
      </c>
      <c r="B170" s="1691">
        <v>5</v>
      </c>
      <c r="C170" s="3333" t="s">
        <v>728</v>
      </c>
      <c r="D170" s="3334"/>
      <c r="E170" s="3334"/>
      <c r="F170" s="3334"/>
      <c r="G170" s="3334"/>
      <c r="H170" s="3334"/>
      <c r="I170" s="3334"/>
      <c r="J170" s="3334"/>
      <c r="K170" s="3334"/>
      <c r="L170" s="3334"/>
      <c r="M170" s="3334"/>
      <c r="N170" s="3334"/>
      <c r="O170" s="3334"/>
      <c r="P170" s="3334"/>
      <c r="Q170" s="3334"/>
      <c r="R170" s="3334"/>
      <c r="S170" s="3334"/>
      <c r="T170" s="3334"/>
      <c r="U170" s="3334"/>
      <c r="V170" s="3334"/>
      <c r="W170" s="3334"/>
      <c r="X170" s="3335"/>
    </row>
    <row r="171" spans="1:24" s="1559" customFormat="1" ht="30" hidden="1" customHeight="1" x14ac:dyDescent="0.2">
      <c r="A171" s="3396">
        <v>1</v>
      </c>
      <c r="B171" s="3338">
        <v>5</v>
      </c>
      <c r="C171" s="3339">
        <v>1</v>
      </c>
      <c r="D171" s="3346" t="s">
        <v>729</v>
      </c>
      <c r="E171" s="3341">
        <v>9</v>
      </c>
      <c r="F171" s="2145" t="s">
        <v>291</v>
      </c>
      <c r="G171" s="2145" t="s">
        <v>730</v>
      </c>
      <c r="H171" s="1566" t="s">
        <v>30</v>
      </c>
      <c r="I171" s="1565">
        <f t="shared" ref="I171" si="149">J171+L171</f>
        <v>0</v>
      </c>
      <c r="J171" s="2163"/>
      <c r="K171" s="2163"/>
      <c r="L171" s="1566"/>
      <c r="M171" s="1565">
        <f t="shared" ref="M171:M172" si="150">N171+P171</f>
        <v>0</v>
      </c>
      <c r="N171" s="2163"/>
      <c r="O171" s="2163"/>
      <c r="P171" s="1566"/>
      <c r="Q171" s="1565">
        <f t="shared" ref="Q171:Q172" si="151">R171+T171</f>
        <v>0</v>
      </c>
      <c r="R171" s="2163"/>
      <c r="S171" s="2163"/>
      <c r="T171" s="1566"/>
      <c r="U171" s="2306"/>
      <c r="V171" s="2306"/>
      <c r="W171" s="2306"/>
      <c r="X171" s="1643"/>
    </row>
    <row r="172" spans="1:24" s="1559" customFormat="1" ht="28.5" hidden="1" customHeight="1" x14ac:dyDescent="0.2">
      <c r="A172" s="3353"/>
      <c r="B172" s="3354"/>
      <c r="C172" s="3394"/>
      <c r="D172" s="3372"/>
      <c r="E172" s="3373"/>
      <c r="F172" s="3349" t="s">
        <v>35</v>
      </c>
      <c r="G172" s="3350"/>
      <c r="H172" s="3351"/>
      <c r="I172" s="1567">
        <f>J172+L172</f>
        <v>0</v>
      </c>
      <c r="J172" s="1568">
        <f>SUM(J171:J171)</f>
        <v>0</v>
      </c>
      <c r="K172" s="1568">
        <f>SUM(K171:K171)</f>
        <v>0</v>
      </c>
      <c r="L172" s="1568">
        <f>SUM(L171:L171)</f>
        <v>0</v>
      </c>
      <c r="M172" s="1567">
        <f t="shared" si="150"/>
        <v>0</v>
      </c>
      <c r="N172" s="1568">
        <f>SUM(N171:N171)</f>
        <v>0</v>
      </c>
      <c r="O172" s="1568">
        <f>SUM(O171:O171)</f>
        <v>0</v>
      </c>
      <c r="P172" s="1633">
        <f>SUM(P171:P171)</f>
        <v>0</v>
      </c>
      <c r="Q172" s="1567">
        <f t="shared" si="151"/>
        <v>0</v>
      </c>
      <c r="R172" s="1568">
        <f>SUM(R171:R171)</f>
        <v>0</v>
      </c>
      <c r="S172" s="1568">
        <f>SUM(S171:S171)</f>
        <v>0</v>
      </c>
      <c r="T172" s="1633">
        <f>SUM(T171:T171)</f>
        <v>0</v>
      </c>
      <c r="U172" s="1692"/>
      <c r="V172" s="2307"/>
      <c r="W172" s="2307"/>
      <c r="X172" s="1645"/>
    </row>
    <row r="173" spans="1:24" s="1559" customFormat="1" ht="35.25" customHeight="1" thickBot="1" x14ac:dyDescent="0.25">
      <c r="A173" s="3396">
        <v>1</v>
      </c>
      <c r="B173" s="3338">
        <v>5</v>
      </c>
      <c r="C173" s="3339">
        <v>1</v>
      </c>
      <c r="D173" s="3356" t="s">
        <v>731</v>
      </c>
      <c r="E173" s="3341">
        <v>9</v>
      </c>
      <c r="F173" s="1693" t="s">
        <v>291</v>
      </c>
      <c r="G173" s="1684" t="s">
        <v>732</v>
      </c>
      <c r="H173" s="1694" t="s">
        <v>30</v>
      </c>
      <c r="I173" s="1695">
        <v>120</v>
      </c>
      <c r="J173" s="1696">
        <v>0</v>
      </c>
      <c r="K173" s="1696">
        <v>0</v>
      </c>
      <c r="L173" s="1665">
        <v>120</v>
      </c>
      <c r="M173" s="1695">
        <f>N173+P173</f>
        <v>24</v>
      </c>
      <c r="N173" s="1696">
        <v>0</v>
      </c>
      <c r="O173" s="1696">
        <v>0</v>
      </c>
      <c r="P173" s="1665">
        <v>24</v>
      </c>
      <c r="Q173" s="1695"/>
      <c r="R173" s="1696"/>
      <c r="S173" s="1696"/>
      <c r="T173" s="1665"/>
      <c r="U173" s="1695"/>
      <c r="V173" s="1696"/>
      <c r="W173" s="1696"/>
      <c r="X173" s="1665"/>
    </row>
    <row r="174" spans="1:24" s="1559" customFormat="1" ht="33" customHeight="1" thickBot="1" x14ac:dyDescent="0.25">
      <c r="A174" s="3353"/>
      <c r="B174" s="3354"/>
      <c r="C174" s="3394"/>
      <c r="D174" s="3423"/>
      <c r="E174" s="3373"/>
      <c r="F174" s="3349" t="s">
        <v>35</v>
      </c>
      <c r="G174" s="3350"/>
      <c r="H174" s="3351"/>
      <c r="I174" s="1697">
        <f>J174+L174</f>
        <v>120</v>
      </c>
      <c r="J174" s="1568">
        <f>J173</f>
        <v>0</v>
      </c>
      <c r="K174" s="1568">
        <f>K173</f>
        <v>0</v>
      </c>
      <c r="L174" s="1569">
        <f>L173</f>
        <v>120</v>
      </c>
      <c r="M174" s="1697">
        <f>N174+P174</f>
        <v>24</v>
      </c>
      <c r="N174" s="1568">
        <f>N173</f>
        <v>0</v>
      </c>
      <c r="O174" s="1568">
        <f>O173</f>
        <v>0</v>
      </c>
      <c r="P174" s="1569">
        <f>P173</f>
        <v>24</v>
      </c>
      <c r="Q174" s="1697">
        <f>R174+T174</f>
        <v>0</v>
      </c>
      <c r="R174" s="1568">
        <f>R173</f>
        <v>0</v>
      </c>
      <c r="S174" s="1568">
        <f>S173</f>
        <v>0</v>
      </c>
      <c r="T174" s="1569">
        <f>T173</f>
        <v>0</v>
      </c>
      <c r="U174" s="1697">
        <f>V174+X174</f>
        <v>0</v>
      </c>
      <c r="V174" s="1568">
        <f>V173</f>
        <v>0</v>
      </c>
      <c r="W174" s="1568">
        <f>W173</f>
        <v>0</v>
      </c>
      <c r="X174" s="1569">
        <f>X173</f>
        <v>0</v>
      </c>
    </row>
    <row r="175" spans="1:24" s="1559" customFormat="1" ht="24.75" customHeight="1" x14ac:dyDescent="0.2">
      <c r="A175" s="3352">
        <v>1</v>
      </c>
      <c r="B175" s="3338">
        <v>5</v>
      </c>
      <c r="C175" s="3339">
        <v>2</v>
      </c>
      <c r="D175" s="3346" t="s">
        <v>733</v>
      </c>
      <c r="E175" s="3341">
        <v>9</v>
      </c>
      <c r="F175" s="3404" t="s">
        <v>291</v>
      </c>
      <c r="G175" s="3397" t="s">
        <v>734</v>
      </c>
      <c r="H175" s="1698" t="s">
        <v>111</v>
      </c>
      <c r="I175" s="1564">
        <f t="shared" ref="I175:I177" si="152">J175+L175</f>
        <v>100</v>
      </c>
      <c r="J175" s="2178">
        <v>0</v>
      </c>
      <c r="K175" s="2163">
        <v>0</v>
      </c>
      <c r="L175" s="1566">
        <v>100</v>
      </c>
      <c r="M175" s="1564">
        <f>N175+P175</f>
        <v>10</v>
      </c>
      <c r="N175" s="2178">
        <v>0</v>
      </c>
      <c r="O175" s="2163">
        <v>0</v>
      </c>
      <c r="P175" s="1566">
        <v>10</v>
      </c>
      <c r="Q175" s="1564"/>
      <c r="R175" s="2178"/>
      <c r="S175" s="2163"/>
      <c r="T175" s="1566"/>
      <c r="U175" s="1564"/>
      <c r="V175" s="2178"/>
      <c r="W175" s="2163"/>
      <c r="X175" s="1566"/>
    </row>
    <row r="176" spans="1:24" s="1559" customFormat="1" ht="24.75" customHeight="1" x14ac:dyDescent="0.2">
      <c r="A176" s="3396"/>
      <c r="B176" s="3338"/>
      <c r="C176" s="3339"/>
      <c r="D176" s="3346"/>
      <c r="E176" s="3341"/>
      <c r="F176" s="3405"/>
      <c r="G176" s="3398"/>
      <c r="H176" s="1635" t="s">
        <v>665</v>
      </c>
      <c r="I176" s="1564">
        <f t="shared" si="152"/>
        <v>0</v>
      </c>
      <c r="J176" s="2172"/>
      <c r="K176" s="2163"/>
      <c r="L176" s="1566">
        <f>30-30</f>
        <v>0</v>
      </c>
      <c r="M176" s="1650">
        <f t="shared" ref="M176:M182" si="153">N176+P176</f>
        <v>0</v>
      </c>
      <c r="N176" s="1672"/>
      <c r="O176" s="1670"/>
      <c r="P176" s="1566">
        <v>0</v>
      </c>
      <c r="Q176" s="1650"/>
      <c r="R176" s="1672"/>
      <c r="S176" s="1670"/>
      <c r="T176" s="1600"/>
      <c r="U176" s="1650"/>
      <c r="V176" s="1672"/>
      <c r="W176" s="1670"/>
      <c r="X176" s="1600"/>
    </row>
    <row r="177" spans="1:24" s="1559" customFormat="1" ht="22.5" customHeight="1" thickBot="1" x14ac:dyDescent="0.25">
      <c r="A177" s="3396"/>
      <c r="B177" s="3338"/>
      <c r="C177" s="3339"/>
      <c r="D177" s="3346"/>
      <c r="E177" s="3341"/>
      <c r="F177" s="3406"/>
      <c r="G177" s="3399"/>
      <c r="H177" s="1699" t="s">
        <v>30</v>
      </c>
      <c r="I177" s="1564">
        <f t="shared" si="152"/>
        <v>150</v>
      </c>
      <c r="J177" s="2146">
        <v>0</v>
      </c>
      <c r="K177" s="2163">
        <v>0</v>
      </c>
      <c r="L177" s="1566">
        <v>150</v>
      </c>
      <c r="M177" s="1650">
        <f t="shared" si="153"/>
        <v>64</v>
      </c>
      <c r="N177" s="2167">
        <v>0</v>
      </c>
      <c r="O177" s="1670">
        <v>0</v>
      </c>
      <c r="P177" s="1566">
        <v>64</v>
      </c>
      <c r="Q177" s="1650"/>
      <c r="R177" s="2167"/>
      <c r="S177" s="1670"/>
      <c r="T177" s="1600"/>
      <c r="U177" s="1650"/>
      <c r="V177" s="2167"/>
      <c r="W177" s="1670"/>
      <c r="X177" s="1600"/>
    </row>
    <row r="178" spans="1:24" s="1559" customFormat="1" ht="23.25" customHeight="1" thickBot="1" x14ac:dyDescent="0.25">
      <c r="A178" s="3353"/>
      <c r="B178" s="3354"/>
      <c r="C178" s="3440"/>
      <c r="D178" s="3387"/>
      <c r="E178" s="3388"/>
      <c r="F178" s="3349" t="s">
        <v>35</v>
      </c>
      <c r="G178" s="3350"/>
      <c r="H178" s="3351"/>
      <c r="I178" s="1567">
        <f>J178+L178</f>
        <v>250</v>
      </c>
      <c r="J178" s="1568">
        <f>SUM(J175:J177)</f>
        <v>0</v>
      </c>
      <c r="K178" s="1568">
        <f>SUM(K175:K177)</f>
        <v>0</v>
      </c>
      <c r="L178" s="1569">
        <f>SUM(L175:L177)</f>
        <v>250</v>
      </c>
      <c r="M178" s="1567">
        <f t="shared" si="153"/>
        <v>74</v>
      </c>
      <c r="N178" s="1568">
        <f>SUM(N175:N177)</f>
        <v>0</v>
      </c>
      <c r="O178" s="1568">
        <f>SUM(O175:O177)</f>
        <v>0</v>
      </c>
      <c r="P178" s="1569">
        <f>SUM(P175:P177)</f>
        <v>74</v>
      </c>
      <c r="Q178" s="1567">
        <f t="shared" ref="Q178:Q182" si="154">R178+T178</f>
        <v>0</v>
      </c>
      <c r="R178" s="1568">
        <f>SUM(R175:R177)</f>
        <v>0</v>
      </c>
      <c r="S178" s="1568">
        <f>SUM(S175:S177)</f>
        <v>0</v>
      </c>
      <c r="T178" s="1569">
        <f>SUM(T175:T177)</f>
        <v>0</v>
      </c>
      <c r="U178" s="1567">
        <f t="shared" ref="U178:U182" si="155">V178+X178</f>
        <v>0</v>
      </c>
      <c r="V178" s="1568">
        <f>SUM(V175:V177)</f>
        <v>0</v>
      </c>
      <c r="W178" s="1568">
        <f>SUM(W175:W177)</f>
        <v>0</v>
      </c>
      <c r="X178" s="1569">
        <f>SUM(X175:X177)</f>
        <v>0</v>
      </c>
    </row>
    <row r="179" spans="1:24" s="1562" customFormat="1" ht="12.75" customHeight="1" thickBot="1" x14ac:dyDescent="0.25">
      <c r="A179" s="3352">
        <v>1</v>
      </c>
      <c r="B179" s="3377">
        <v>5</v>
      </c>
      <c r="C179" s="3349" t="s">
        <v>659</v>
      </c>
      <c r="D179" s="3350"/>
      <c r="E179" s="3350"/>
      <c r="F179" s="3350"/>
      <c r="G179" s="3350"/>
      <c r="H179" s="3351"/>
      <c r="I179" s="1586">
        <f>J179+L179</f>
        <v>270</v>
      </c>
      <c r="J179" s="1587">
        <f>J171+J173+J177</f>
        <v>0</v>
      </c>
      <c r="K179" s="1587">
        <f t="shared" ref="K179:L179" si="156">K171+K173+K177</f>
        <v>0</v>
      </c>
      <c r="L179" s="1587">
        <f t="shared" si="156"/>
        <v>270</v>
      </c>
      <c r="M179" s="1586">
        <f t="shared" si="153"/>
        <v>88</v>
      </c>
      <c r="N179" s="1587">
        <f>N171+N173+N177</f>
        <v>0</v>
      </c>
      <c r="O179" s="1587">
        <f t="shared" ref="O179:P179" si="157">O171+O173+O177</f>
        <v>0</v>
      </c>
      <c r="P179" s="1587">
        <f t="shared" si="157"/>
        <v>88</v>
      </c>
      <c r="Q179" s="1586">
        <f t="shared" si="154"/>
        <v>0</v>
      </c>
      <c r="R179" s="1587">
        <f>R171+R173+R177</f>
        <v>0</v>
      </c>
      <c r="S179" s="1587">
        <f t="shared" ref="S179:T179" si="158">S171+S173+S177</f>
        <v>0</v>
      </c>
      <c r="T179" s="1587">
        <f t="shared" si="158"/>
        <v>0</v>
      </c>
      <c r="U179" s="1586">
        <f t="shared" si="155"/>
        <v>0</v>
      </c>
      <c r="V179" s="1587">
        <f>V171+V173+V177</f>
        <v>0</v>
      </c>
      <c r="W179" s="1587">
        <f t="shared" ref="W179:X179" si="159">W171+W173+W177</f>
        <v>0</v>
      </c>
      <c r="X179" s="1700">
        <f t="shared" si="159"/>
        <v>0</v>
      </c>
    </row>
    <row r="180" spans="1:24" s="1562" customFormat="1" ht="12.75" customHeight="1" thickBot="1" x14ac:dyDescent="0.25">
      <c r="A180" s="3396"/>
      <c r="B180" s="3425"/>
      <c r="C180" s="3349" t="s">
        <v>668</v>
      </c>
      <c r="D180" s="3350"/>
      <c r="E180" s="3350"/>
      <c r="F180" s="3350"/>
      <c r="G180" s="3350"/>
      <c r="H180" s="3351"/>
      <c r="I180" s="1586">
        <f>J180+L180</f>
        <v>0</v>
      </c>
      <c r="J180" s="1587">
        <f>J176</f>
        <v>0</v>
      </c>
      <c r="K180" s="1587">
        <f t="shared" ref="K180:L180" si="160">K176</f>
        <v>0</v>
      </c>
      <c r="L180" s="1587">
        <f t="shared" si="160"/>
        <v>0</v>
      </c>
      <c r="M180" s="1586">
        <f t="shared" si="153"/>
        <v>0</v>
      </c>
      <c r="N180" s="1587">
        <f>N176</f>
        <v>0</v>
      </c>
      <c r="O180" s="1587">
        <f t="shared" ref="O180:P180" si="161">O176</f>
        <v>0</v>
      </c>
      <c r="P180" s="1587">
        <f t="shared" si="161"/>
        <v>0</v>
      </c>
      <c r="Q180" s="1586">
        <f t="shared" si="154"/>
        <v>0</v>
      </c>
      <c r="R180" s="1587">
        <f>R176</f>
        <v>0</v>
      </c>
      <c r="S180" s="1587">
        <f t="shared" ref="S180:T180" si="162">S176</f>
        <v>0</v>
      </c>
      <c r="T180" s="1587">
        <f t="shared" si="162"/>
        <v>0</v>
      </c>
      <c r="U180" s="1586">
        <f t="shared" si="155"/>
        <v>0</v>
      </c>
      <c r="V180" s="1587">
        <f>V176</f>
        <v>0</v>
      </c>
      <c r="W180" s="1587">
        <f t="shared" ref="W180:X180" si="163">W176</f>
        <v>0</v>
      </c>
      <c r="X180" s="1700">
        <f t="shared" si="163"/>
        <v>0</v>
      </c>
    </row>
    <row r="181" spans="1:24" s="1562" customFormat="1" ht="12.75" customHeight="1" thickBot="1" x14ac:dyDescent="0.25">
      <c r="A181" s="3353"/>
      <c r="B181" s="3378"/>
      <c r="C181" s="3349" t="s">
        <v>705</v>
      </c>
      <c r="D181" s="3350"/>
      <c r="E181" s="3350"/>
      <c r="F181" s="3350"/>
      <c r="G181" s="3350"/>
      <c r="H181" s="3351"/>
      <c r="I181" s="1589">
        <f>J181+L181</f>
        <v>100</v>
      </c>
      <c r="J181" s="1590">
        <f>J175</f>
        <v>0</v>
      </c>
      <c r="K181" s="1590">
        <f>K175</f>
        <v>0</v>
      </c>
      <c r="L181" s="1591">
        <f>L175</f>
        <v>100</v>
      </c>
      <c r="M181" s="1589">
        <f t="shared" si="153"/>
        <v>10</v>
      </c>
      <c r="N181" s="1590">
        <f>N175</f>
        <v>0</v>
      </c>
      <c r="O181" s="1590">
        <f>O175</f>
        <v>0</v>
      </c>
      <c r="P181" s="1591">
        <f>P175</f>
        <v>10</v>
      </c>
      <c r="Q181" s="1589">
        <f t="shared" si="154"/>
        <v>0</v>
      </c>
      <c r="R181" s="1590">
        <f>R175</f>
        <v>0</v>
      </c>
      <c r="S181" s="1590">
        <f>S175</f>
        <v>0</v>
      </c>
      <c r="T181" s="1591">
        <f>T175</f>
        <v>0</v>
      </c>
      <c r="U181" s="1589">
        <f t="shared" si="155"/>
        <v>0</v>
      </c>
      <c r="V181" s="1590">
        <f>V175</f>
        <v>0</v>
      </c>
      <c r="W181" s="1590">
        <f>W175</f>
        <v>0</v>
      </c>
      <c r="X181" s="1591">
        <f>X175</f>
        <v>0</v>
      </c>
    </row>
    <row r="182" spans="1:24" s="1559" customFormat="1" ht="13.5" customHeight="1" thickBot="1" x14ac:dyDescent="0.25">
      <c r="A182" s="2152">
        <v>1</v>
      </c>
      <c r="B182" s="1701">
        <v>5</v>
      </c>
      <c r="C182" s="3441" t="s">
        <v>234</v>
      </c>
      <c r="D182" s="3442"/>
      <c r="E182" s="3442"/>
      <c r="F182" s="3442"/>
      <c r="G182" s="3442"/>
      <c r="H182" s="3443"/>
      <c r="I182" s="1593">
        <f>J182+L182</f>
        <v>370</v>
      </c>
      <c r="J182" s="1595">
        <f>J178+J174+J172</f>
        <v>0</v>
      </c>
      <c r="K182" s="1595">
        <f t="shared" ref="K182:L182" si="164">K178+K174+K172</f>
        <v>0</v>
      </c>
      <c r="L182" s="1595">
        <f t="shared" si="164"/>
        <v>370</v>
      </c>
      <c r="M182" s="1593">
        <f t="shared" si="153"/>
        <v>98</v>
      </c>
      <c r="N182" s="1595">
        <f>N178+N174</f>
        <v>0</v>
      </c>
      <c r="O182" s="1595">
        <f t="shared" ref="O182" si="165">O178+O174+O172</f>
        <v>0</v>
      </c>
      <c r="P182" s="1595">
        <f>P178+P174</f>
        <v>98</v>
      </c>
      <c r="Q182" s="1593">
        <f t="shared" si="154"/>
        <v>0</v>
      </c>
      <c r="R182" s="1595">
        <f>R178+R174+R172</f>
        <v>0</v>
      </c>
      <c r="S182" s="1595">
        <f t="shared" ref="S182:T182" si="166">S178+S174+S172</f>
        <v>0</v>
      </c>
      <c r="T182" s="1595">
        <f t="shared" si="166"/>
        <v>0</v>
      </c>
      <c r="U182" s="1593">
        <f t="shared" si="155"/>
        <v>0</v>
      </c>
      <c r="V182" s="1595">
        <f>V178+V174+V172</f>
        <v>0</v>
      </c>
      <c r="W182" s="1595">
        <f t="shared" ref="W182:X182" si="167">W178+W174+W172</f>
        <v>0</v>
      </c>
      <c r="X182" s="1596">
        <f t="shared" si="167"/>
        <v>0</v>
      </c>
    </row>
    <row r="183" spans="1:24" s="1559" customFormat="1" ht="14.25" customHeight="1" thickBot="1" x14ac:dyDescent="0.25">
      <c r="A183" s="2147">
        <v>1</v>
      </c>
      <c r="B183" s="1576">
        <v>6</v>
      </c>
      <c r="C183" s="3333" t="s">
        <v>735</v>
      </c>
      <c r="D183" s="3334"/>
      <c r="E183" s="3334"/>
      <c r="F183" s="3334"/>
      <c r="G183" s="3334"/>
      <c r="H183" s="3334"/>
      <c r="I183" s="3334"/>
      <c r="J183" s="3334"/>
      <c r="K183" s="3334"/>
      <c r="L183" s="3334"/>
      <c r="M183" s="3334"/>
      <c r="N183" s="3334"/>
      <c r="O183" s="3334"/>
      <c r="P183" s="3334"/>
      <c r="Q183" s="3334"/>
      <c r="R183" s="3334"/>
      <c r="S183" s="3334"/>
      <c r="T183" s="3334"/>
      <c r="U183" s="3334"/>
      <c r="V183" s="3334"/>
      <c r="W183" s="3334"/>
      <c r="X183" s="3335"/>
    </row>
    <row r="184" spans="1:24" s="1562" customFormat="1" ht="24.75" customHeight="1" thickBot="1" x14ac:dyDescent="0.25">
      <c r="A184" s="3352">
        <v>1</v>
      </c>
      <c r="B184" s="3337">
        <v>6</v>
      </c>
      <c r="C184" s="3345">
        <v>1</v>
      </c>
      <c r="D184" s="3304" t="s">
        <v>736</v>
      </c>
      <c r="E184" s="3347">
        <v>9</v>
      </c>
      <c r="F184" s="1702" t="s">
        <v>291</v>
      </c>
      <c r="G184" s="1702" t="s">
        <v>737</v>
      </c>
      <c r="H184" s="1575" t="s">
        <v>30</v>
      </c>
      <c r="I184" s="1565">
        <f>J184+L184</f>
        <v>0</v>
      </c>
      <c r="J184" s="2163"/>
      <c r="K184" s="2163"/>
      <c r="L184" s="1566"/>
      <c r="M184" s="1565">
        <f t="shared" ref="M184:M189" si="168">N184+P184</f>
        <v>10</v>
      </c>
      <c r="N184" s="2163">
        <v>10</v>
      </c>
      <c r="O184" s="2163"/>
      <c r="P184" s="1566"/>
      <c r="Q184" s="1565">
        <f t="shared" ref="Q184:Q189" si="169">R184+T184</f>
        <v>10</v>
      </c>
      <c r="R184" s="2163">
        <v>10</v>
      </c>
      <c r="S184" s="2163"/>
      <c r="T184" s="1566"/>
      <c r="U184" s="1703">
        <f t="shared" ref="U184:U189" si="170">V184+X184</f>
        <v>10</v>
      </c>
      <c r="V184" s="1574">
        <v>10</v>
      </c>
      <c r="W184" s="1574"/>
      <c r="X184" s="1704"/>
    </row>
    <row r="185" spans="1:24" s="1562" customFormat="1" ht="20.25" customHeight="1" thickBot="1" x14ac:dyDescent="0.25">
      <c r="A185" s="3353"/>
      <c r="B185" s="3354"/>
      <c r="C185" s="3394"/>
      <c r="D185" s="3372"/>
      <c r="E185" s="3373"/>
      <c r="F185" s="3444" t="s">
        <v>35</v>
      </c>
      <c r="G185" s="3361"/>
      <c r="H185" s="3362"/>
      <c r="I185" s="1567">
        <f t="shared" ref="I185:I187" si="171">J185+L185</f>
        <v>0</v>
      </c>
      <c r="J185" s="1568">
        <f>SUM(J184)</f>
        <v>0</v>
      </c>
      <c r="K185" s="1568">
        <f>SUM(K184)</f>
        <v>0</v>
      </c>
      <c r="L185" s="1569">
        <f>SUM(L184)</f>
        <v>0</v>
      </c>
      <c r="M185" s="1567">
        <f t="shared" si="168"/>
        <v>10</v>
      </c>
      <c r="N185" s="1568">
        <f>SUM(N184)</f>
        <v>10</v>
      </c>
      <c r="O185" s="1568">
        <f>SUM(O184)</f>
        <v>0</v>
      </c>
      <c r="P185" s="1569">
        <f>SUM(P184)</f>
        <v>0</v>
      </c>
      <c r="Q185" s="1567">
        <f t="shared" si="169"/>
        <v>10</v>
      </c>
      <c r="R185" s="1568">
        <f>SUM(R184)</f>
        <v>10</v>
      </c>
      <c r="S185" s="1568">
        <f>SUM(S184)</f>
        <v>0</v>
      </c>
      <c r="T185" s="1569">
        <f>SUM(T184)</f>
        <v>0</v>
      </c>
      <c r="U185" s="1567">
        <f t="shared" si="170"/>
        <v>10</v>
      </c>
      <c r="V185" s="1568">
        <f>SUM(V184)</f>
        <v>10</v>
      </c>
      <c r="W185" s="1568">
        <f>SUM(W184)</f>
        <v>0</v>
      </c>
      <c r="X185" s="1569">
        <f>SUM(X184)</f>
        <v>0</v>
      </c>
    </row>
    <row r="186" spans="1:24" s="1562" customFormat="1" ht="21" customHeight="1" thickBot="1" x14ac:dyDescent="0.25">
      <c r="A186" s="3352">
        <v>1</v>
      </c>
      <c r="B186" s="3337">
        <v>6</v>
      </c>
      <c r="C186" s="3345">
        <v>2</v>
      </c>
      <c r="D186" s="3304" t="s">
        <v>738</v>
      </c>
      <c r="E186" s="3347">
        <v>9</v>
      </c>
      <c r="F186" s="2144" t="s">
        <v>291</v>
      </c>
      <c r="G186" s="2144" t="s">
        <v>739</v>
      </c>
      <c r="H186" s="1642" t="s">
        <v>30</v>
      </c>
      <c r="I186" s="1565">
        <f t="shared" si="171"/>
        <v>7.2</v>
      </c>
      <c r="J186" s="2163">
        <v>7.2</v>
      </c>
      <c r="K186" s="2163">
        <v>0</v>
      </c>
      <c r="L186" s="1566">
        <v>0</v>
      </c>
      <c r="M186" s="1565">
        <f t="shared" si="168"/>
        <v>10</v>
      </c>
      <c r="N186" s="2163">
        <v>10</v>
      </c>
      <c r="O186" s="2163">
        <v>0</v>
      </c>
      <c r="P186" s="1566">
        <v>0</v>
      </c>
      <c r="Q186" s="1565">
        <f t="shared" si="169"/>
        <v>15</v>
      </c>
      <c r="R186" s="2163">
        <v>15</v>
      </c>
      <c r="S186" s="2163">
        <v>0</v>
      </c>
      <c r="T186" s="1566">
        <v>0</v>
      </c>
      <c r="U186" s="1565">
        <f t="shared" si="170"/>
        <v>15</v>
      </c>
      <c r="V186" s="2163">
        <v>15</v>
      </c>
      <c r="W186" s="2163">
        <v>0</v>
      </c>
      <c r="X186" s="1566">
        <v>0</v>
      </c>
    </row>
    <row r="187" spans="1:24" s="1562" customFormat="1" ht="15" customHeight="1" thickBot="1" x14ac:dyDescent="0.25">
      <c r="A187" s="3353"/>
      <c r="B187" s="3354"/>
      <c r="C187" s="3394"/>
      <c r="D187" s="3372"/>
      <c r="E187" s="3373"/>
      <c r="F187" s="3349" t="s">
        <v>35</v>
      </c>
      <c r="G187" s="3350"/>
      <c r="H187" s="3351"/>
      <c r="I187" s="1567">
        <f t="shared" si="171"/>
        <v>7.2</v>
      </c>
      <c r="J187" s="1568">
        <f>SUM(J186)</f>
        <v>7.2</v>
      </c>
      <c r="K187" s="1568">
        <f>SUM(K186)</f>
        <v>0</v>
      </c>
      <c r="L187" s="1569">
        <f>SUM(L186)</f>
        <v>0</v>
      </c>
      <c r="M187" s="1567">
        <f t="shared" si="168"/>
        <v>10</v>
      </c>
      <c r="N187" s="1568">
        <f>SUM(N186)</f>
        <v>10</v>
      </c>
      <c r="O187" s="1568">
        <f>SUM(O186)</f>
        <v>0</v>
      </c>
      <c r="P187" s="1569">
        <f>SUM(P186)</f>
        <v>0</v>
      </c>
      <c r="Q187" s="1567">
        <f t="shared" si="169"/>
        <v>15</v>
      </c>
      <c r="R187" s="1568">
        <f>SUM(R186)</f>
        <v>15</v>
      </c>
      <c r="S187" s="1568">
        <f>SUM(S186)</f>
        <v>0</v>
      </c>
      <c r="T187" s="1569">
        <f>SUM(T186)</f>
        <v>0</v>
      </c>
      <c r="U187" s="1567">
        <f t="shared" si="170"/>
        <v>15</v>
      </c>
      <c r="V187" s="1568">
        <f>SUM(V186)</f>
        <v>15</v>
      </c>
      <c r="W187" s="1568">
        <f>SUM(W186)</f>
        <v>0</v>
      </c>
      <c r="X187" s="1569">
        <f>SUM(X186)</f>
        <v>0</v>
      </c>
    </row>
    <row r="188" spans="1:24" s="1562" customFormat="1" ht="24" customHeight="1" thickBot="1" x14ac:dyDescent="0.25">
      <c r="A188" s="3352">
        <v>1</v>
      </c>
      <c r="B188" s="3337">
        <v>6</v>
      </c>
      <c r="C188" s="3339">
        <v>3</v>
      </c>
      <c r="D188" s="3303" t="s">
        <v>740</v>
      </c>
      <c r="E188" s="3341">
        <v>9</v>
      </c>
      <c r="F188" s="2144" t="s">
        <v>291</v>
      </c>
      <c r="G188" s="2144" t="s">
        <v>741</v>
      </c>
      <c r="H188" s="1642" t="s">
        <v>30</v>
      </c>
      <c r="I188" s="1565">
        <f>J188+L188</f>
        <v>17</v>
      </c>
      <c r="J188" s="2163">
        <v>17</v>
      </c>
      <c r="K188" s="2163">
        <v>0</v>
      </c>
      <c r="L188" s="1566">
        <v>0</v>
      </c>
      <c r="M188" s="1565">
        <f t="shared" si="168"/>
        <v>18</v>
      </c>
      <c r="N188" s="2163">
        <v>18</v>
      </c>
      <c r="O188" s="2163">
        <v>0</v>
      </c>
      <c r="P188" s="1566">
        <v>0</v>
      </c>
      <c r="Q188" s="1565">
        <f t="shared" si="169"/>
        <v>20</v>
      </c>
      <c r="R188" s="2163">
        <v>20</v>
      </c>
      <c r="S188" s="2163">
        <v>0</v>
      </c>
      <c r="T188" s="1566">
        <v>0</v>
      </c>
      <c r="U188" s="1565">
        <f t="shared" si="170"/>
        <v>20</v>
      </c>
      <c r="V188" s="2163">
        <v>20</v>
      </c>
      <c r="W188" s="2163">
        <v>0</v>
      </c>
      <c r="X188" s="1566">
        <v>0</v>
      </c>
    </row>
    <row r="189" spans="1:24" s="1562" customFormat="1" ht="24" customHeight="1" thickBot="1" x14ac:dyDescent="0.25">
      <c r="A189" s="3353"/>
      <c r="B189" s="3354"/>
      <c r="C189" s="3339"/>
      <c r="D189" s="3303"/>
      <c r="E189" s="3341"/>
      <c r="F189" s="3349" t="s">
        <v>35</v>
      </c>
      <c r="G189" s="3350"/>
      <c r="H189" s="3351"/>
      <c r="I189" s="1605">
        <f>J189+L189</f>
        <v>17</v>
      </c>
      <c r="J189" s="1606">
        <f>SUM(J188)</f>
        <v>17</v>
      </c>
      <c r="K189" s="1606">
        <f>SUM(K188)</f>
        <v>0</v>
      </c>
      <c r="L189" s="1607">
        <f>SUM(L188)</f>
        <v>0</v>
      </c>
      <c r="M189" s="1605">
        <f t="shared" si="168"/>
        <v>18</v>
      </c>
      <c r="N189" s="1606">
        <f>SUM(N188)</f>
        <v>18</v>
      </c>
      <c r="O189" s="1606">
        <f>SUM(O188)</f>
        <v>0</v>
      </c>
      <c r="P189" s="1607">
        <f>SUM(P188)</f>
        <v>0</v>
      </c>
      <c r="Q189" s="1605">
        <f t="shared" si="169"/>
        <v>20</v>
      </c>
      <c r="R189" s="1606">
        <f>SUM(R188)</f>
        <v>20</v>
      </c>
      <c r="S189" s="1606">
        <f>SUM(S188)</f>
        <v>0</v>
      </c>
      <c r="T189" s="1607">
        <f>SUM(T188)</f>
        <v>0</v>
      </c>
      <c r="U189" s="1605">
        <f t="shared" si="170"/>
        <v>20</v>
      </c>
      <c r="V189" s="1606">
        <f>SUM(V188)</f>
        <v>20</v>
      </c>
      <c r="W189" s="1606">
        <f>SUM(W188)</f>
        <v>0</v>
      </c>
      <c r="X189" s="1607">
        <f>SUM(X188)</f>
        <v>0</v>
      </c>
    </row>
    <row r="190" spans="1:24" s="1562" customFormat="1" ht="13.5" thickBot="1" x14ac:dyDescent="0.25">
      <c r="A190" s="2169">
        <v>1</v>
      </c>
      <c r="B190" s="1705">
        <v>6</v>
      </c>
      <c r="C190" s="3441" t="s">
        <v>234</v>
      </c>
      <c r="D190" s="3442"/>
      <c r="E190" s="3442"/>
      <c r="F190" s="3442"/>
      <c r="G190" s="3442"/>
      <c r="H190" s="3443"/>
      <c r="I190" s="1593">
        <f t="shared" ref="I190" si="172">J190+L190</f>
        <v>24.2</v>
      </c>
      <c r="J190" s="1595">
        <f>SUM(J189,J187,J185)</f>
        <v>24.2</v>
      </c>
      <c r="K190" s="1595">
        <f t="shared" ref="K190:L190" si="173">SUM(K189,K187,K185)</f>
        <v>0</v>
      </c>
      <c r="L190" s="1595">
        <f t="shared" si="173"/>
        <v>0</v>
      </c>
      <c r="M190" s="1593">
        <f>N190+P190</f>
        <v>38</v>
      </c>
      <c r="N190" s="1595">
        <f>SUM(N189,N187,N185)</f>
        <v>38</v>
      </c>
      <c r="O190" s="1595">
        <f t="shared" ref="O190:P190" si="174">SUM(O189,O187,O185)</f>
        <v>0</v>
      </c>
      <c r="P190" s="1595">
        <f t="shared" si="174"/>
        <v>0</v>
      </c>
      <c r="Q190" s="1593">
        <f>R190+T190</f>
        <v>45</v>
      </c>
      <c r="R190" s="1595">
        <f>SUM(R189,R187,R185)</f>
        <v>45</v>
      </c>
      <c r="S190" s="1595">
        <f t="shared" ref="S190:T190" si="175">SUM(S189,S187,S185)</f>
        <v>0</v>
      </c>
      <c r="T190" s="1595">
        <f t="shared" si="175"/>
        <v>0</v>
      </c>
      <c r="U190" s="1593">
        <f>V190+X190</f>
        <v>45</v>
      </c>
      <c r="V190" s="1595">
        <f>SUM(V189,V187,V185)</f>
        <v>45</v>
      </c>
      <c r="W190" s="1595">
        <f t="shared" ref="W190:X190" si="176">SUM(W189,W187,W185)</f>
        <v>0</v>
      </c>
      <c r="X190" s="1596">
        <f t="shared" si="176"/>
        <v>0</v>
      </c>
    </row>
    <row r="191" spans="1:24" s="1562" customFormat="1" ht="15.75" customHeight="1" thickBot="1" x14ac:dyDescent="0.25">
      <c r="A191" s="2153">
        <v>1</v>
      </c>
      <c r="B191" s="1706">
        <v>7</v>
      </c>
      <c r="C191" s="3445" t="s">
        <v>742</v>
      </c>
      <c r="D191" s="3446"/>
      <c r="E191" s="3446"/>
      <c r="F191" s="3446"/>
      <c r="G191" s="3446"/>
      <c r="H191" s="3446"/>
      <c r="I191" s="3446"/>
      <c r="J191" s="3446"/>
      <c r="K191" s="3446"/>
      <c r="L191" s="3446"/>
      <c r="M191" s="3446"/>
      <c r="N191" s="3446"/>
      <c r="O191" s="3446"/>
      <c r="P191" s="3446"/>
      <c r="Q191" s="3446"/>
      <c r="R191" s="3446"/>
      <c r="S191" s="3446"/>
      <c r="T191" s="3446"/>
      <c r="U191" s="3446"/>
      <c r="V191" s="3446"/>
      <c r="W191" s="3446"/>
      <c r="X191" s="3447"/>
    </row>
    <row r="192" spans="1:24" s="1562" customFormat="1" ht="25.5" customHeight="1" thickBot="1" x14ac:dyDescent="0.25">
      <c r="A192" s="3382">
        <v>1</v>
      </c>
      <c r="B192" s="3367">
        <v>7</v>
      </c>
      <c r="C192" s="3370">
        <v>1</v>
      </c>
      <c r="D192" s="3356" t="s">
        <v>743</v>
      </c>
      <c r="E192" s="3448">
        <v>9</v>
      </c>
      <c r="F192" s="2159" t="s">
        <v>291</v>
      </c>
      <c r="G192" s="2159" t="s">
        <v>744</v>
      </c>
      <c r="H192" s="1707" t="s">
        <v>30</v>
      </c>
      <c r="I192" s="1565">
        <f>J192+L192</f>
        <v>15.7</v>
      </c>
      <c r="J192" s="2163">
        <v>15.7</v>
      </c>
      <c r="K192" s="2163"/>
      <c r="L192" s="1566"/>
      <c r="M192" s="1565"/>
      <c r="N192" s="2163"/>
      <c r="O192" s="2163"/>
      <c r="P192" s="1566"/>
      <c r="Q192" s="1565"/>
      <c r="R192" s="2163"/>
      <c r="S192" s="2163"/>
      <c r="T192" s="1566"/>
      <c r="U192" s="1565"/>
      <c r="V192" s="2163"/>
      <c r="W192" s="2163"/>
      <c r="X192" s="1566"/>
    </row>
    <row r="193" spans="1:24" s="1562" customFormat="1" ht="24.75" customHeight="1" thickBot="1" x14ac:dyDescent="0.25">
      <c r="A193" s="3384"/>
      <c r="B193" s="3369"/>
      <c r="C193" s="3371"/>
      <c r="D193" s="3423"/>
      <c r="E193" s="3449"/>
      <c r="F193" s="3349" t="s">
        <v>35</v>
      </c>
      <c r="G193" s="3350"/>
      <c r="H193" s="3351"/>
      <c r="I193" s="1567">
        <f>J193+L193</f>
        <v>15.7</v>
      </c>
      <c r="J193" s="1568">
        <f>SUM(J192)</f>
        <v>15.7</v>
      </c>
      <c r="K193" s="1568">
        <f>SUM(K192)</f>
        <v>0</v>
      </c>
      <c r="L193" s="1569">
        <f>SUM(L192)</f>
        <v>0</v>
      </c>
      <c r="M193" s="1567"/>
      <c r="N193" s="1568"/>
      <c r="O193" s="1568"/>
      <c r="P193" s="1569"/>
      <c r="Q193" s="1567"/>
      <c r="R193" s="1568"/>
      <c r="S193" s="1568"/>
      <c r="T193" s="1569"/>
      <c r="U193" s="1567"/>
      <c r="V193" s="1568"/>
      <c r="W193" s="1568"/>
      <c r="X193" s="1569"/>
    </row>
    <row r="194" spans="1:24" s="1562" customFormat="1" ht="13.5" customHeight="1" thickBot="1" x14ac:dyDescent="0.25">
      <c r="A194" s="2153">
        <v>1</v>
      </c>
      <c r="B194" s="1708">
        <v>7</v>
      </c>
      <c r="C194" s="3441" t="s">
        <v>234</v>
      </c>
      <c r="D194" s="3442"/>
      <c r="E194" s="3442"/>
      <c r="F194" s="3442"/>
      <c r="G194" s="3442"/>
      <c r="H194" s="3443"/>
      <c r="I194" s="1593">
        <f>J194+L194</f>
        <v>15.7</v>
      </c>
      <c r="J194" s="1595">
        <f>J193</f>
        <v>15.7</v>
      </c>
      <c r="K194" s="1595">
        <f t="shared" ref="K194:L194" si="177">K193</f>
        <v>0</v>
      </c>
      <c r="L194" s="1595">
        <f t="shared" si="177"/>
        <v>0</v>
      </c>
      <c r="M194" s="1593">
        <f>N194+P194</f>
        <v>0</v>
      </c>
      <c r="N194" s="1595">
        <f>N193</f>
        <v>0</v>
      </c>
      <c r="O194" s="1595">
        <f t="shared" ref="O194:P194" si="178">O193</f>
        <v>0</v>
      </c>
      <c r="P194" s="1595">
        <f t="shared" si="178"/>
        <v>0</v>
      </c>
      <c r="Q194" s="1593">
        <f>R194+T194</f>
        <v>0</v>
      </c>
      <c r="R194" s="1595">
        <f>R193</f>
        <v>0</v>
      </c>
      <c r="S194" s="1595">
        <f t="shared" ref="S194:T194" si="179">S193</f>
        <v>0</v>
      </c>
      <c r="T194" s="1595">
        <f t="shared" si="179"/>
        <v>0</v>
      </c>
      <c r="U194" s="1593">
        <f>V194+X194</f>
        <v>0</v>
      </c>
      <c r="V194" s="1595">
        <f>V193</f>
        <v>0</v>
      </c>
      <c r="W194" s="1595">
        <f t="shared" ref="W194:X194" si="180">W193</f>
        <v>0</v>
      </c>
      <c r="X194" s="1596">
        <f t="shared" si="180"/>
        <v>0</v>
      </c>
    </row>
    <row r="195" spans="1:24" s="1562" customFormat="1" ht="13.5" customHeight="1" thickBot="1" x14ac:dyDescent="0.25">
      <c r="A195" s="1709">
        <v>1</v>
      </c>
      <c r="B195" s="3451" t="s">
        <v>167</v>
      </c>
      <c r="C195" s="3452"/>
      <c r="D195" s="3452"/>
      <c r="E195" s="3452"/>
      <c r="F195" s="3452"/>
      <c r="G195" s="3452"/>
      <c r="H195" s="3453"/>
      <c r="I195" s="1710">
        <f>J195+L195</f>
        <v>8663.0999999999985</v>
      </c>
      <c r="J195" s="1711">
        <f>SUM(J52,J63,J131,J169,J182,J190,J194)</f>
        <v>2105.7999999999997</v>
      </c>
      <c r="K195" s="1711">
        <f>SUM(K52,K63,K131,K169,K182,K190,K194)</f>
        <v>0</v>
      </c>
      <c r="L195" s="1712">
        <f>SUM(L52,L63,L131,L169,L182,L190,L194)</f>
        <v>6557.2999999999993</v>
      </c>
      <c r="M195" s="1710">
        <f>N195+P195</f>
        <v>11062.132</v>
      </c>
      <c r="N195" s="1711">
        <f>SUM(N52,N63,N131,N169,N182,N190,N194)</f>
        <v>1757.9</v>
      </c>
      <c r="O195" s="1711">
        <f>SUM(O52,O63,O131,O169,O182,O190,O194)</f>
        <v>0</v>
      </c>
      <c r="P195" s="1712">
        <f>SUM(P52,P63,P131,P169,P182,P190,P194)</f>
        <v>9304.232</v>
      </c>
      <c r="Q195" s="1710">
        <f>R195+T195</f>
        <v>9205</v>
      </c>
      <c r="R195" s="1711">
        <f>SUM(R52,R63,R131,R169,R182,R190,R194)</f>
        <v>1515</v>
      </c>
      <c r="S195" s="1711">
        <f>SUM(S52,S63,S131,S169,S182,S190,S194)</f>
        <v>0</v>
      </c>
      <c r="T195" s="1712">
        <f>SUM(T52,T63,T131,T169,T182,T190,T194)</f>
        <v>7690</v>
      </c>
      <c r="U195" s="1710">
        <f>V195+X195</f>
        <v>8865</v>
      </c>
      <c r="V195" s="1711">
        <f>SUM(V52,V63,V131,V169,V182,V190,V194)</f>
        <v>1515</v>
      </c>
      <c r="W195" s="1711">
        <f>SUM(W52,W63,W131,W169,W182,W190,W194)</f>
        <v>0</v>
      </c>
      <c r="X195" s="1712">
        <f>SUM(X52,X63,X131,X169,X182,X190,X194)</f>
        <v>7350</v>
      </c>
    </row>
    <row r="196" spans="1:24" s="1562" customFormat="1" ht="17.25" customHeight="1" thickBot="1" x14ac:dyDescent="0.25">
      <c r="A196" s="1709">
        <v>2</v>
      </c>
      <c r="B196" s="3454" t="s">
        <v>745</v>
      </c>
      <c r="C196" s="3455"/>
      <c r="D196" s="3455"/>
      <c r="E196" s="3455"/>
      <c r="F196" s="3455"/>
      <c r="G196" s="3455"/>
      <c r="H196" s="3455"/>
      <c r="I196" s="3455"/>
      <c r="J196" s="3455"/>
      <c r="K196" s="3455"/>
      <c r="L196" s="3455"/>
      <c r="M196" s="3455"/>
      <c r="N196" s="3455"/>
      <c r="O196" s="3455"/>
      <c r="P196" s="3455"/>
      <c r="Q196" s="3455"/>
      <c r="R196" s="3455"/>
      <c r="S196" s="3455"/>
      <c r="T196" s="3455"/>
      <c r="U196" s="3455"/>
      <c r="V196" s="3455"/>
      <c r="W196" s="3455"/>
      <c r="X196" s="3456"/>
    </row>
    <row r="197" spans="1:24" s="1562" customFormat="1" ht="20.25" customHeight="1" thickBot="1" x14ac:dyDescent="0.25">
      <c r="A197" s="2169">
        <v>2</v>
      </c>
      <c r="B197" s="1713">
        <v>1</v>
      </c>
      <c r="C197" s="3445" t="s">
        <v>746</v>
      </c>
      <c r="D197" s="3446"/>
      <c r="E197" s="3446"/>
      <c r="F197" s="3446"/>
      <c r="G197" s="3446"/>
      <c r="H197" s="3446"/>
      <c r="I197" s="3446"/>
      <c r="J197" s="3446"/>
      <c r="K197" s="3446"/>
      <c r="L197" s="3446"/>
      <c r="M197" s="3446"/>
      <c r="N197" s="3446"/>
      <c r="O197" s="3446"/>
      <c r="P197" s="3446"/>
      <c r="Q197" s="3446"/>
      <c r="R197" s="3446"/>
      <c r="S197" s="3446"/>
      <c r="T197" s="3446"/>
      <c r="U197" s="3446"/>
      <c r="V197" s="3446"/>
      <c r="W197" s="3446"/>
      <c r="X197" s="3447"/>
    </row>
    <row r="198" spans="1:24" s="1562" customFormat="1" ht="19.5" customHeight="1" thickBot="1" x14ac:dyDescent="0.25">
      <c r="A198" s="3382">
        <v>2</v>
      </c>
      <c r="B198" s="3367">
        <v>1</v>
      </c>
      <c r="C198" s="3370">
        <v>1</v>
      </c>
      <c r="D198" s="3346" t="s">
        <v>747</v>
      </c>
      <c r="E198" s="3448">
        <v>9</v>
      </c>
      <c r="F198" s="2163" t="s">
        <v>748</v>
      </c>
      <c r="G198" s="2163" t="s">
        <v>749</v>
      </c>
      <c r="H198" s="1564" t="s">
        <v>30</v>
      </c>
      <c r="I198" s="1565">
        <f t="shared" ref="I198:I204" si="181">J198+L198</f>
        <v>10.3</v>
      </c>
      <c r="J198" s="2163">
        <v>10.3</v>
      </c>
      <c r="K198" s="2163">
        <v>0</v>
      </c>
      <c r="L198" s="1566">
        <v>0</v>
      </c>
      <c r="M198" s="1565">
        <f t="shared" ref="M198:M204" si="182">N198+P198</f>
        <v>20</v>
      </c>
      <c r="N198" s="2163">
        <v>20</v>
      </c>
      <c r="O198" s="2163">
        <v>0</v>
      </c>
      <c r="P198" s="1566">
        <v>0</v>
      </c>
      <c r="Q198" s="1565">
        <f t="shared" ref="Q198:Q201" si="183">R198+T198</f>
        <v>20</v>
      </c>
      <c r="R198" s="2163">
        <v>20</v>
      </c>
      <c r="S198" s="2163">
        <v>0</v>
      </c>
      <c r="T198" s="1566">
        <v>0</v>
      </c>
      <c r="U198" s="1565">
        <f t="shared" ref="U198:U201" si="184">V198+X198</f>
        <v>20</v>
      </c>
      <c r="V198" s="2163">
        <v>20</v>
      </c>
      <c r="W198" s="2163">
        <v>0</v>
      </c>
      <c r="X198" s="1566">
        <v>0</v>
      </c>
    </row>
    <row r="199" spans="1:24" s="1562" customFormat="1" ht="27" customHeight="1" thickBot="1" x14ac:dyDescent="0.25">
      <c r="A199" s="3384"/>
      <c r="B199" s="3369"/>
      <c r="C199" s="3371"/>
      <c r="D199" s="3372"/>
      <c r="E199" s="3449"/>
      <c r="F199" s="3349" t="s">
        <v>35</v>
      </c>
      <c r="G199" s="3350"/>
      <c r="H199" s="3351"/>
      <c r="I199" s="1567">
        <f t="shared" si="181"/>
        <v>10.3</v>
      </c>
      <c r="J199" s="1568">
        <f>SUM(J198)</f>
        <v>10.3</v>
      </c>
      <c r="K199" s="1568">
        <f>SUM(K198)</f>
        <v>0</v>
      </c>
      <c r="L199" s="1569">
        <f>SUM(L198)</f>
        <v>0</v>
      </c>
      <c r="M199" s="1567">
        <f t="shared" si="182"/>
        <v>20</v>
      </c>
      <c r="N199" s="1568">
        <f>SUM(N198)</f>
        <v>20</v>
      </c>
      <c r="O199" s="1568">
        <f>SUM(O198)</f>
        <v>0</v>
      </c>
      <c r="P199" s="1569">
        <f>SUM(P198)</f>
        <v>0</v>
      </c>
      <c r="Q199" s="1567">
        <f t="shared" si="183"/>
        <v>20</v>
      </c>
      <c r="R199" s="1568">
        <f>SUM(R198)</f>
        <v>20</v>
      </c>
      <c r="S199" s="1568">
        <f>SUM(S198)</f>
        <v>0</v>
      </c>
      <c r="T199" s="1569">
        <f>SUM(T198)</f>
        <v>0</v>
      </c>
      <c r="U199" s="1567">
        <f t="shared" si="184"/>
        <v>20</v>
      </c>
      <c r="V199" s="1568">
        <f>SUM(V198)</f>
        <v>20</v>
      </c>
      <c r="W199" s="1568">
        <f>SUM(W198)</f>
        <v>0</v>
      </c>
      <c r="X199" s="1569">
        <f>SUM(X198)</f>
        <v>0</v>
      </c>
    </row>
    <row r="200" spans="1:24" s="1559" customFormat="1" ht="27.75" customHeight="1" thickBot="1" x14ac:dyDescent="0.25">
      <c r="A200" s="3382">
        <v>2</v>
      </c>
      <c r="B200" s="3367">
        <v>1</v>
      </c>
      <c r="C200" s="3385">
        <v>2</v>
      </c>
      <c r="D200" s="3395" t="s">
        <v>750</v>
      </c>
      <c r="E200" s="3450">
        <v>9</v>
      </c>
      <c r="F200" s="2163" t="s">
        <v>748</v>
      </c>
      <c r="G200" s="1574" t="s">
        <v>751</v>
      </c>
      <c r="H200" s="1704" t="s">
        <v>30</v>
      </c>
      <c r="I200" s="1565">
        <f t="shared" si="181"/>
        <v>55</v>
      </c>
      <c r="J200" s="2163">
        <v>0</v>
      </c>
      <c r="K200" s="2163">
        <v>0</v>
      </c>
      <c r="L200" s="1566">
        <v>55</v>
      </c>
      <c r="M200" s="1565">
        <f t="shared" si="182"/>
        <v>100</v>
      </c>
      <c r="N200" s="2163">
        <v>0</v>
      </c>
      <c r="O200" s="2163">
        <v>0</v>
      </c>
      <c r="P200" s="1566">
        <v>100</v>
      </c>
      <c r="Q200" s="1565">
        <f t="shared" si="183"/>
        <v>50</v>
      </c>
      <c r="R200" s="2163">
        <v>0</v>
      </c>
      <c r="S200" s="2163">
        <v>0</v>
      </c>
      <c r="T200" s="1566">
        <v>50</v>
      </c>
      <c r="U200" s="1565">
        <f t="shared" si="184"/>
        <v>50</v>
      </c>
      <c r="V200" s="2163">
        <v>0</v>
      </c>
      <c r="W200" s="2163">
        <v>0</v>
      </c>
      <c r="X200" s="1566">
        <v>50</v>
      </c>
    </row>
    <row r="201" spans="1:24" s="1562" customFormat="1" ht="20.25" customHeight="1" thickBot="1" x14ac:dyDescent="0.25">
      <c r="A201" s="3384"/>
      <c r="B201" s="3369"/>
      <c r="C201" s="3371"/>
      <c r="D201" s="3400"/>
      <c r="E201" s="3449"/>
      <c r="F201" s="3349" t="s">
        <v>35</v>
      </c>
      <c r="G201" s="3350"/>
      <c r="H201" s="3351"/>
      <c r="I201" s="1567">
        <f t="shared" si="181"/>
        <v>55</v>
      </c>
      <c r="J201" s="1568">
        <f>SUM(J200)</f>
        <v>0</v>
      </c>
      <c r="K201" s="1568">
        <f>SUM(K200)</f>
        <v>0</v>
      </c>
      <c r="L201" s="1569">
        <f>SUM(L200)</f>
        <v>55</v>
      </c>
      <c r="M201" s="1567">
        <f t="shared" si="182"/>
        <v>100</v>
      </c>
      <c r="N201" s="1568">
        <f>SUM(N200)</f>
        <v>0</v>
      </c>
      <c r="O201" s="1568">
        <f>SUM(O200)</f>
        <v>0</v>
      </c>
      <c r="P201" s="1569">
        <f>SUM(P200)</f>
        <v>100</v>
      </c>
      <c r="Q201" s="1567">
        <f t="shared" si="183"/>
        <v>50</v>
      </c>
      <c r="R201" s="1568">
        <f>SUM(R200)</f>
        <v>0</v>
      </c>
      <c r="S201" s="1568">
        <f>SUM(S200)</f>
        <v>0</v>
      </c>
      <c r="T201" s="1569">
        <f>SUM(T200)</f>
        <v>50</v>
      </c>
      <c r="U201" s="1567">
        <f t="shared" si="184"/>
        <v>50</v>
      </c>
      <c r="V201" s="1568">
        <f>SUM(V200)</f>
        <v>0</v>
      </c>
      <c r="W201" s="1568">
        <f>SUM(W200)</f>
        <v>0</v>
      </c>
      <c r="X201" s="1569">
        <f>SUM(X200)</f>
        <v>50</v>
      </c>
    </row>
    <row r="202" spans="1:24" s="1559" customFormat="1" ht="18" customHeight="1" x14ac:dyDescent="0.2">
      <c r="A202" s="3382">
        <v>2</v>
      </c>
      <c r="B202" s="3368">
        <v>1</v>
      </c>
      <c r="C202" s="3385">
        <v>3</v>
      </c>
      <c r="D202" s="3304" t="s">
        <v>752</v>
      </c>
      <c r="E202" s="3450">
        <v>9</v>
      </c>
      <c r="F202" s="3348" t="s">
        <v>748</v>
      </c>
      <c r="G202" s="3348" t="s">
        <v>753</v>
      </c>
      <c r="H202" s="1602" t="s">
        <v>30</v>
      </c>
      <c r="I202" s="1599">
        <f t="shared" si="181"/>
        <v>0.7</v>
      </c>
      <c r="J202" s="2068">
        <v>0</v>
      </c>
      <c r="K202" s="2068">
        <v>0</v>
      </c>
      <c r="L202" s="2074">
        <v>0.7</v>
      </c>
      <c r="M202" s="1565">
        <f t="shared" si="182"/>
        <v>100</v>
      </c>
      <c r="N202" s="2163">
        <v>0</v>
      </c>
      <c r="O202" s="2163">
        <v>0</v>
      </c>
      <c r="P202" s="1566">
        <v>100</v>
      </c>
      <c r="Q202" s="1565"/>
      <c r="R202" s="2163"/>
      <c r="S202" s="2163"/>
      <c r="T202" s="1566"/>
      <c r="U202" s="1565"/>
      <c r="V202" s="2163"/>
      <c r="W202" s="2163"/>
      <c r="X202" s="1566"/>
    </row>
    <row r="203" spans="1:24" s="1559" customFormat="1" ht="18" customHeight="1" x14ac:dyDescent="0.2">
      <c r="A203" s="3383"/>
      <c r="B203" s="3368"/>
      <c r="C203" s="3370"/>
      <c r="D203" s="3346"/>
      <c r="E203" s="3448"/>
      <c r="F203" s="3342"/>
      <c r="G203" s="3342"/>
      <c r="H203" s="1604" t="s">
        <v>116</v>
      </c>
      <c r="I203" s="1599">
        <f>J203+L203</f>
        <v>54.4</v>
      </c>
      <c r="J203" s="2068"/>
      <c r="K203" s="2068"/>
      <c r="L203" s="2074">
        <v>54.4</v>
      </c>
      <c r="M203" s="1565">
        <f t="shared" si="182"/>
        <v>0</v>
      </c>
      <c r="N203" s="2163">
        <v>0</v>
      </c>
      <c r="O203" s="2163">
        <v>0</v>
      </c>
      <c r="P203" s="1566">
        <v>0</v>
      </c>
      <c r="Q203" s="1565"/>
      <c r="R203" s="2163"/>
      <c r="S203" s="2163"/>
      <c r="T203" s="1566"/>
      <c r="U203" s="1565"/>
      <c r="V203" s="2163"/>
      <c r="W203" s="2163"/>
      <c r="X203" s="1566"/>
    </row>
    <row r="204" spans="1:24" s="1559" customFormat="1" ht="19.5" customHeight="1" thickBot="1" x14ac:dyDescent="0.25">
      <c r="A204" s="3383"/>
      <c r="B204" s="3368"/>
      <c r="C204" s="3370"/>
      <c r="D204" s="3346"/>
      <c r="E204" s="3448"/>
      <c r="F204" s="3374"/>
      <c r="G204" s="3374"/>
      <c r="H204" s="2050" t="s">
        <v>111</v>
      </c>
      <c r="I204" s="1599">
        <f t="shared" si="181"/>
        <v>263.2</v>
      </c>
      <c r="J204" s="2068">
        <v>0</v>
      </c>
      <c r="K204" s="2068">
        <v>0</v>
      </c>
      <c r="L204" s="2074">
        <v>263.2</v>
      </c>
      <c r="M204" s="1565">
        <f t="shared" si="182"/>
        <v>100</v>
      </c>
      <c r="N204" s="2163">
        <v>0</v>
      </c>
      <c r="O204" s="2163">
        <v>0</v>
      </c>
      <c r="P204" s="1566">
        <v>100</v>
      </c>
      <c r="Q204" s="1565"/>
      <c r="R204" s="2163"/>
      <c r="S204" s="2163"/>
      <c r="T204" s="1566"/>
      <c r="U204" s="1565"/>
      <c r="V204" s="2163"/>
      <c r="W204" s="2163"/>
      <c r="X204" s="1566"/>
    </row>
    <row r="205" spans="1:24" s="1562" customFormat="1" ht="21" customHeight="1" thickBot="1" x14ac:dyDescent="0.25">
      <c r="A205" s="3384"/>
      <c r="B205" s="3369"/>
      <c r="C205" s="3371"/>
      <c r="D205" s="3372"/>
      <c r="E205" s="3449"/>
      <c r="F205" s="3349" t="s">
        <v>35</v>
      </c>
      <c r="G205" s="3350"/>
      <c r="H205" s="3351"/>
      <c r="I205" s="1714">
        <f>SUM(J205,L205)</f>
        <v>318.3</v>
      </c>
      <c r="J205" s="1568">
        <f>SUM(J202:J204)</f>
        <v>0</v>
      </c>
      <c r="K205" s="1568">
        <f>SUM(K202:K204)</f>
        <v>0</v>
      </c>
      <c r="L205" s="1569">
        <f>SUM(L202:L204)</f>
        <v>318.3</v>
      </c>
      <c r="M205" s="1714">
        <f>SUM(N205,P205)</f>
        <v>200</v>
      </c>
      <c r="N205" s="1568">
        <f>SUM(N202:N204)</f>
        <v>0</v>
      </c>
      <c r="O205" s="1568">
        <f>SUM(O202:O204)</f>
        <v>0</v>
      </c>
      <c r="P205" s="1569">
        <f>SUM(P202:P204)</f>
        <v>200</v>
      </c>
      <c r="Q205" s="1714">
        <f>SUM(R205,T205)</f>
        <v>0</v>
      </c>
      <c r="R205" s="1568">
        <f>SUM(R202:R204)</f>
        <v>0</v>
      </c>
      <c r="S205" s="1568">
        <f>SUM(S202:S204)</f>
        <v>0</v>
      </c>
      <c r="T205" s="1569">
        <f>SUM(T202:T204)</f>
        <v>0</v>
      </c>
      <c r="U205" s="1714">
        <f>SUM(V205,X205)</f>
        <v>0</v>
      </c>
      <c r="V205" s="1568">
        <f>SUM(V202:V204)</f>
        <v>0</v>
      </c>
      <c r="W205" s="1568">
        <f>SUM(W202:W204)</f>
        <v>0</v>
      </c>
      <c r="X205" s="1569">
        <f>SUM(X202:X204)</f>
        <v>0</v>
      </c>
    </row>
    <row r="206" spans="1:24" s="1559" customFormat="1" ht="24" customHeight="1" x14ac:dyDescent="0.2">
      <c r="A206" s="3382">
        <v>2</v>
      </c>
      <c r="B206" s="3368">
        <v>1</v>
      </c>
      <c r="C206" s="3385">
        <v>4</v>
      </c>
      <c r="D206" s="3395" t="s">
        <v>754</v>
      </c>
      <c r="E206" s="3450">
        <v>9</v>
      </c>
      <c r="F206" s="3348" t="s">
        <v>748</v>
      </c>
      <c r="G206" s="3348" t="s">
        <v>755</v>
      </c>
      <c r="H206" s="1602" t="s">
        <v>30</v>
      </c>
      <c r="I206" s="1599">
        <f t="shared" ref="I206:I207" si="185">J206+L206</f>
        <v>3.3</v>
      </c>
      <c r="J206" s="2068">
        <v>0</v>
      </c>
      <c r="K206" s="2068">
        <v>0</v>
      </c>
      <c r="L206" s="2074">
        <v>3.3</v>
      </c>
      <c r="M206" s="1565">
        <f t="shared" ref="M206:M207" si="186">N206+P206</f>
        <v>262</v>
      </c>
      <c r="N206" s="2163">
        <v>8.3000000000000007</v>
      </c>
      <c r="O206" s="2163">
        <v>8.1</v>
      </c>
      <c r="P206" s="1566">
        <v>253.7</v>
      </c>
      <c r="Q206" s="1565">
        <f>R206+T206</f>
        <v>653.70000000000005</v>
      </c>
      <c r="R206" s="2163">
        <v>0</v>
      </c>
      <c r="S206" s="2163">
        <v>0</v>
      </c>
      <c r="T206" s="1566">
        <v>653.70000000000005</v>
      </c>
      <c r="U206" s="1565"/>
      <c r="V206" s="2163"/>
      <c r="W206" s="2163"/>
      <c r="X206" s="1566"/>
    </row>
    <row r="207" spans="1:24" s="1559" customFormat="1" ht="24" customHeight="1" thickBot="1" x14ac:dyDescent="0.25">
      <c r="A207" s="3383"/>
      <c r="B207" s="3368"/>
      <c r="C207" s="3370"/>
      <c r="D207" s="3340"/>
      <c r="E207" s="3448"/>
      <c r="F207" s="3374"/>
      <c r="G207" s="3374"/>
      <c r="H207" s="1664" t="s">
        <v>111</v>
      </c>
      <c r="I207" s="1565">
        <f t="shared" si="185"/>
        <v>0</v>
      </c>
      <c r="J207" s="2059">
        <v>0</v>
      </c>
      <c r="K207" s="2059">
        <v>0</v>
      </c>
      <c r="L207" s="2060">
        <v>0</v>
      </c>
      <c r="M207" s="1565">
        <f t="shared" si="186"/>
        <v>454.5</v>
      </c>
      <c r="N207" s="2163">
        <v>1.3</v>
      </c>
      <c r="O207" s="2163">
        <v>1.2</v>
      </c>
      <c r="P207" s="1566">
        <v>453.2</v>
      </c>
      <c r="Q207" s="1565">
        <f>R207+T207</f>
        <v>454.5</v>
      </c>
      <c r="R207" s="2163">
        <v>6.9</v>
      </c>
      <c r="S207" s="2163">
        <v>6.8</v>
      </c>
      <c r="T207" s="1566">
        <v>447.6</v>
      </c>
      <c r="U207" s="1565"/>
      <c r="V207" s="2163"/>
      <c r="W207" s="2163"/>
      <c r="X207" s="1566"/>
    </row>
    <row r="208" spans="1:24" s="1562" customFormat="1" ht="24" customHeight="1" thickBot="1" x14ac:dyDescent="0.25">
      <c r="A208" s="3384"/>
      <c r="B208" s="3369"/>
      <c r="C208" s="3371"/>
      <c r="D208" s="3400"/>
      <c r="E208" s="3449"/>
      <c r="F208" s="3349" t="s">
        <v>35</v>
      </c>
      <c r="G208" s="3350"/>
      <c r="H208" s="3351"/>
      <c r="I208" s="1714">
        <f>SUM(J208,L208)</f>
        <v>3.3</v>
      </c>
      <c r="J208" s="1568">
        <f>SUM(J206:J207)</f>
        <v>0</v>
      </c>
      <c r="K208" s="1568">
        <f>SUM(K206:K207)</f>
        <v>0</v>
      </c>
      <c r="L208" s="1569">
        <f>SUM(L206:L207)</f>
        <v>3.3</v>
      </c>
      <c r="M208" s="1714">
        <f>SUM(N208,P208)</f>
        <v>716.5</v>
      </c>
      <c r="N208" s="1568">
        <f>SUM(N206:N207)</f>
        <v>9.6000000000000014</v>
      </c>
      <c r="O208" s="1568">
        <f>SUM(O206:O207)</f>
        <v>9.2999999999999989</v>
      </c>
      <c r="P208" s="1569">
        <f>SUM(P206:P207)</f>
        <v>706.9</v>
      </c>
      <c r="Q208" s="1714">
        <f>SUM(R208,T208)</f>
        <v>1108.2000000000003</v>
      </c>
      <c r="R208" s="1568">
        <f>SUM(R206:R207)</f>
        <v>6.9</v>
      </c>
      <c r="S208" s="1568">
        <f>SUM(S206:S207)</f>
        <v>6.8</v>
      </c>
      <c r="T208" s="1569">
        <f>SUM(T206:T207)</f>
        <v>1101.3000000000002</v>
      </c>
      <c r="U208" s="1714">
        <f>SUM(V208,X208)</f>
        <v>0</v>
      </c>
      <c r="V208" s="1568">
        <f>SUM(V206:V207)</f>
        <v>0</v>
      </c>
      <c r="W208" s="1568">
        <f>SUM(W206:W207)</f>
        <v>0</v>
      </c>
      <c r="X208" s="1569">
        <f>SUM(X206:X207)</f>
        <v>0</v>
      </c>
    </row>
    <row r="209" spans="1:24" s="1562" customFormat="1" ht="13.5" thickBot="1" x14ac:dyDescent="0.25">
      <c r="A209" s="2153">
        <v>2</v>
      </c>
      <c r="B209" s="1706">
        <v>1</v>
      </c>
      <c r="C209" s="3441" t="s">
        <v>234</v>
      </c>
      <c r="D209" s="3442"/>
      <c r="E209" s="3442"/>
      <c r="F209" s="3442"/>
      <c r="G209" s="3442"/>
      <c r="H209" s="3443"/>
      <c r="I209" s="1715">
        <f t="shared" ref="I209" si="187">J209+L209</f>
        <v>386.90000000000003</v>
      </c>
      <c r="J209" s="1595">
        <f>J208+J205+J201+J199</f>
        <v>10.3</v>
      </c>
      <c r="K209" s="1595">
        <f t="shared" ref="K209:L209" si="188">K208+K205+K201+K199</f>
        <v>0</v>
      </c>
      <c r="L209" s="1595">
        <f t="shared" si="188"/>
        <v>376.6</v>
      </c>
      <c r="M209" s="1715">
        <f>N209+P209</f>
        <v>1036.5</v>
      </c>
      <c r="N209" s="1595">
        <f>N208+N205+N201+N199</f>
        <v>29.6</v>
      </c>
      <c r="O209" s="1595">
        <f t="shared" ref="O209:P209" si="189">O208+O205+O201+O199</f>
        <v>9.2999999999999989</v>
      </c>
      <c r="P209" s="1595">
        <f t="shared" si="189"/>
        <v>1006.9</v>
      </c>
      <c r="Q209" s="1715">
        <f>R209+T209</f>
        <v>1178.2000000000003</v>
      </c>
      <c r="R209" s="1595">
        <f>R208+R205+R201+R199</f>
        <v>26.9</v>
      </c>
      <c r="S209" s="1595">
        <f t="shared" ref="S209:T209" si="190">S208+S205+S201+S199</f>
        <v>6.8</v>
      </c>
      <c r="T209" s="1595">
        <f t="shared" si="190"/>
        <v>1151.3000000000002</v>
      </c>
      <c r="U209" s="1715">
        <f>V209+X209</f>
        <v>70</v>
      </c>
      <c r="V209" s="1595">
        <f>V208+V205+V201+V199</f>
        <v>20</v>
      </c>
      <c r="W209" s="1595">
        <f t="shared" ref="W209:X209" si="191">W208+W205+W201+W199</f>
        <v>0</v>
      </c>
      <c r="X209" s="1596">
        <f t="shared" si="191"/>
        <v>50</v>
      </c>
    </row>
    <row r="210" spans="1:24" s="1562" customFormat="1" ht="13.5" customHeight="1" thickBot="1" x14ac:dyDescent="0.25">
      <c r="A210" s="2169">
        <v>2</v>
      </c>
      <c r="B210" s="1716">
        <v>2</v>
      </c>
      <c r="C210" s="3445" t="s">
        <v>756</v>
      </c>
      <c r="D210" s="3446"/>
      <c r="E210" s="3446"/>
      <c r="F210" s="3446"/>
      <c r="G210" s="3446"/>
      <c r="H210" s="3446"/>
      <c r="I210" s="3446"/>
      <c r="J210" s="3446"/>
      <c r="K210" s="3446"/>
      <c r="L210" s="3446"/>
      <c r="M210" s="3446"/>
      <c r="N210" s="3446"/>
      <c r="O210" s="3446"/>
      <c r="P210" s="3446"/>
      <c r="Q210" s="3446"/>
      <c r="R210" s="3446"/>
      <c r="S210" s="3446"/>
      <c r="T210" s="3446"/>
      <c r="U210" s="3446"/>
      <c r="V210" s="3446"/>
      <c r="W210" s="3446"/>
      <c r="X210" s="3447"/>
    </row>
    <row r="211" spans="1:24" s="1562" customFormat="1" ht="13.5" customHeight="1" thickBot="1" x14ac:dyDescent="0.25">
      <c r="A211" s="3382">
        <v>2</v>
      </c>
      <c r="B211" s="3367">
        <v>2</v>
      </c>
      <c r="C211" s="3370">
        <v>1</v>
      </c>
      <c r="D211" s="3340" t="s">
        <v>757</v>
      </c>
      <c r="E211" s="3448">
        <v>19</v>
      </c>
      <c r="F211" s="2168" t="s">
        <v>748</v>
      </c>
      <c r="G211" s="2168" t="s">
        <v>758</v>
      </c>
      <c r="H211" s="2168" t="s">
        <v>30</v>
      </c>
      <c r="I211" s="1565">
        <f t="shared" ref="I211:I232" si="192">J211+L211</f>
        <v>5</v>
      </c>
      <c r="J211" s="2163">
        <f>5</f>
        <v>5</v>
      </c>
      <c r="K211" s="2163">
        <v>0</v>
      </c>
      <c r="L211" s="1566">
        <v>0</v>
      </c>
      <c r="M211" s="1565">
        <f t="shared" ref="M211:M234" si="193">N211+P211</f>
        <v>12.8</v>
      </c>
      <c r="N211" s="2163">
        <v>12.8</v>
      </c>
      <c r="O211" s="2163">
        <v>0</v>
      </c>
      <c r="P211" s="1566">
        <v>0</v>
      </c>
      <c r="Q211" s="1565">
        <f t="shared" ref="Q211:Q234" si="194">R211+T211</f>
        <v>11</v>
      </c>
      <c r="R211" s="2163">
        <v>11</v>
      </c>
      <c r="S211" s="2163">
        <v>0</v>
      </c>
      <c r="T211" s="1566">
        <v>0</v>
      </c>
      <c r="U211" s="1565">
        <f t="shared" ref="U211:U234" si="195">V211+X211</f>
        <v>11</v>
      </c>
      <c r="V211" s="2163">
        <v>11</v>
      </c>
      <c r="W211" s="2163">
        <v>0</v>
      </c>
      <c r="X211" s="1566">
        <v>0</v>
      </c>
    </row>
    <row r="212" spans="1:24" s="1562" customFormat="1" ht="15.75" customHeight="1" thickBot="1" x14ac:dyDescent="0.25">
      <c r="A212" s="3384"/>
      <c r="B212" s="3369"/>
      <c r="C212" s="3371"/>
      <c r="D212" s="3400"/>
      <c r="E212" s="3449"/>
      <c r="F212" s="3349" t="s">
        <v>35</v>
      </c>
      <c r="G212" s="3350"/>
      <c r="H212" s="3351"/>
      <c r="I212" s="1567">
        <f t="shared" si="192"/>
        <v>5</v>
      </c>
      <c r="J212" s="1568">
        <f>SUM(J211)</f>
        <v>5</v>
      </c>
      <c r="K212" s="1568">
        <f>SUM(K211)</f>
        <v>0</v>
      </c>
      <c r="L212" s="1569">
        <f>SUM(L211)</f>
        <v>0</v>
      </c>
      <c r="M212" s="1567">
        <f t="shared" si="193"/>
        <v>12.8</v>
      </c>
      <c r="N212" s="1568">
        <f>SUM(N211)</f>
        <v>12.8</v>
      </c>
      <c r="O212" s="1568">
        <f>SUM(O211)</f>
        <v>0</v>
      </c>
      <c r="P212" s="1569">
        <f>SUM(P211)</f>
        <v>0</v>
      </c>
      <c r="Q212" s="1567">
        <f t="shared" si="194"/>
        <v>11</v>
      </c>
      <c r="R212" s="1568">
        <f>SUM(R211)</f>
        <v>11</v>
      </c>
      <c r="S212" s="1568">
        <f>SUM(S211)</f>
        <v>0</v>
      </c>
      <c r="T212" s="1569">
        <f>SUM(T211)</f>
        <v>0</v>
      </c>
      <c r="U212" s="1567">
        <f t="shared" si="195"/>
        <v>11</v>
      </c>
      <c r="V212" s="1568">
        <f>SUM(V211)</f>
        <v>11</v>
      </c>
      <c r="W212" s="1568">
        <f>SUM(W211)</f>
        <v>0</v>
      </c>
      <c r="X212" s="1569">
        <f>SUM(X211)</f>
        <v>0</v>
      </c>
    </row>
    <row r="213" spans="1:24" s="1562" customFormat="1" ht="19.5" customHeight="1" thickBot="1" x14ac:dyDescent="0.25">
      <c r="A213" s="3382">
        <v>2</v>
      </c>
      <c r="B213" s="3367">
        <v>2</v>
      </c>
      <c r="C213" s="3385">
        <v>2</v>
      </c>
      <c r="D213" s="3304" t="s">
        <v>759</v>
      </c>
      <c r="E213" s="3450">
        <v>20</v>
      </c>
      <c r="F213" s="2168" t="s">
        <v>748</v>
      </c>
      <c r="G213" s="2168" t="s">
        <v>760</v>
      </c>
      <c r="H213" s="2168" t="s">
        <v>30</v>
      </c>
      <c r="I213" s="1565">
        <f t="shared" si="192"/>
        <v>10</v>
      </c>
      <c r="J213" s="2163">
        <f>10</f>
        <v>10</v>
      </c>
      <c r="K213" s="2163">
        <v>0</v>
      </c>
      <c r="L213" s="1566">
        <v>0</v>
      </c>
      <c r="M213" s="1565">
        <f t="shared" si="193"/>
        <v>25.5</v>
      </c>
      <c r="N213" s="2163">
        <v>25.5</v>
      </c>
      <c r="O213" s="2163">
        <v>0</v>
      </c>
      <c r="P213" s="1566">
        <v>0</v>
      </c>
      <c r="Q213" s="1565">
        <f t="shared" si="194"/>
        <v>21</v>
      </c>
      <c r="R213" s="2163">
        <v>21</v>
      </c>
      <c r="S213" s="2163">
        <v>0</v>
      </c>
      <c r="T213" s="1566">
        <v>0</v>
      </c>
      <c r="U213" s="1565">
        <f t="shared" si="195"/>
        <v>21</v>
      </c>
      <c r="V213" s="2163">
        <v>21</v>
      </c>
      <c r="W213" s="2163">
        <v>0</v>
      </c>
      <c r="X213" s="1566">
        <v>0</v>
      </c>
    </row>
    <row r="214" spans="1:24" s="1562" customFormat="1" ht="13.5" customHeight="1" thickBot="1" x14ac:dyDescent="0.25">
      <c r="A214" s="3384"/>
      <c r="B214" s="3369"/>
      <c r="C214" s="3371"/>
      <c r="D214" s="3372"/>
      <c r="E214" s="3449"/>
      <c r="F214" s="3349" t="s">
        <v>35</v>
      </c>
      <c r="G214" s="3350"/>
      <c r="H214" s="3351"/>
      <c r="I214" s="1567">
        <f t="shared" si="192"/>
        <v>10</v>
      </c>
      <c r="J214" s="1568">
        <f>SUM(J213)</f>
        <v>10</v>
      </c>
      <c r="K214" s="1568">
        <f>SUM(K213)</f>
        <v>0</v>
      </c>
      <c r="L214" s="1569">
        <f>SUM(L213)</f>
        <v>0</v>
      </c>
      <c r="M214" s="1567">
        <f t="shared" si="193"/>
        <v>25.5</v>
      </c>
      <c r="N214" s="1568">
        <f>SUM(N213)</f>
        <v>25.5</v>
      </c>
      <c r="O214" s="1568">
        <f>SUM(O213)</f>
        <v>0</v>
      </c>
      <c r="P214" s="1569">
        <f>SUM(P213)</f>
        <v>0</v>
      </c>
      <c r="Q214" s="1567">
        <f t="shared" si="194"/>
        <v>21</v>
      </c>
      <c r="R214" s="1568">
        <f>SUM(R213)</f>
        <v>21</v>
      </c>
      <c r="S214" s="1568">
        <f>SUM(S213)</f>
        <v>0</v>
      </c>
      <c r="T214" s="1569">
        <f>SUM(T213)</f>
        <v>0</v>
      </c>
      <c r="U214" s="1567">
        <f t="shared" si="195"/>
        <v>21</v>
      </c>
      <c r="V214" s="1568">
        <f>SUM(V213)</f>
        <v>21</v>
      </c>
      <c r="W214" s="1568">
        <f>SUM(W213)</f>
        <v>0</v>
      </c>
      <c r="X214" s="1569">
        <f>SUM(X213)</f>
        <v>0</v>
      </c>
    </row>
    <row r="215" spans="1:24" s="1562" customFormat="1" ht="13.5" customHeight="1" thickBot="1" x14ac:dyDescent="0.25">
      <c r="A215" s="3382">
        <v>2</v>
      </c>
      <c r="B215" s="3367">
        <v>2</v>
      </c>
      <c r="C215" s="3385">
        <v>3</v>
      </c>
      <c r="D215" s="3304" t="s">
        <v>761</v>
      </c>
      <c r="E215" s="3450">
        <v>21</v>
      </c>
      <c r="F215" s="2168" t="s">
        <v>748</v>
      </c>
      <c r="G215" s="2168" t="s">
        <v>762</v>
      </c>
      <c r="H215" s="2168" t="s">
        <v>30</v>
      </c>
      <c r="I215" s="1565">
        <f t="shared" si="192"/>
        <v>19.600000000000001</v>
      </c>
      <c r="J215" s="2163">
        <v>19.600000000000001</v>
      </c>
      <c r="K215" s="2163">
        <v>0</v>
      </c>
      <c r="L215" s="1566">
        <v>0</v>
      </c>
      <c r="M215" s="1565">
        <f t="shared" si="193"/>
        <v>47.6</v>
      </c>
      <c r="N215" s="2163">
        <v>47.6</v>
      </c>
      <c r="O215" s="2163">
        <v>0</v>
      </c>
      <c r="P215" s="1566">
        <v>0</v>
      </c>
      <c r="Q215" s="1565">
        <f t="shared" si="194"/>
        <v>38</v>
      </c>
      <c r="R215" s="2163">
        <v>38</v>
      </c>
      <c r="S215" s="2163">
        <v>0</v>
      </c>
      <c r="T215" s="1566">
        <v>0</v>
      </c>
      <c r="U215" s="1565">
        <f t="shared" si="195"/>
        <v>38</v>
      </c>
      <c r="V215" s="2163">
        <v>38</v>
      </c>
      <c r="W215" s="2163">
        <v>0</v>
      </c>
      <c r="X215" s="1566">
        <v>0</v>
      </c>
    </row>
    <row r="216" spans="1:24" s="1562" customFormat="1" ht="13.5" customHeight="1" thickBot="1" x14ac:dyDescent="0.25">
      <c r="A216" s="3384"/>
      <c r="B216" s="3369"/>
      <c r="C216" s="3371"/>
      <c r="D216" s="3372"/>
      <c r="E216" s="3449"/>
      <c r="F216" s="3349" t="s">
        <v>35</v>
      </c>
      <c r="G216" s="3350"/>
      <c r="H216" s="3351"/>
      <c r="I216" s="1567">
        <f t="shared" si="192"/>
        <v>19.600000000000001</v>
      </c>
      <c r="J216" s="1568">
        <f>SUM(J215)</f>
        <v>19.600000000000001</v>
      </c>
      <c r="K216" s="1568">
        <f>SUM(K215)</f>
        <v>0</v>
      </c>
      <c r="L216" s="1569">
        <f>SUM(L215)</f>
        <v>0</v>
      </c>
      <c r="M216" s="1567">
        <f t="shared" si="193"/>
        <v>47.6</v>
      </c>
      <c r="N216" s="1568">
        <f>SUM(N215)</f>
        <v>47.6</v>
      </c>
      <c r="O216" s="1568">
        <f>SUM(O215)</f>
        <v>0</v>
      </c>
      <c r="P216" s="1569">
        <f>SUM(P215)</f>
        <v>0</v>
      </c>
      <c r="Q216" s="1567">
        <f t="shared" si="194"/>
        <v>38</v>
      </c>
      <c r="R216" s="1568">
        <f>SUM(R215)</f>
        <v>38</v>
      </c>
      <c r="S216" s="1568">
        <f>SUM(S215)</f>
        <v>0</v>
      </c>
      <c r="T216" s="1569">
        <f>SUM(T215)</f>
        <v>0</v>
      </c>
      <c r="U216" s="1567">
        <f t="shared" si="195"/>
        <v>38</v>
      </c>
      <c r="V216" s="1568">
        <f>SUM(V215)</f>
        <v>38</v>
      </c>
      <c r="W216" s="1568">
        <f>SUM(W215)</f>
        <v>0</v>
      </c>
      <c r="X216" s="1569">
        <f>SUM(X215)</f>
        <v>0</v>
      </c>
    </row>
    <row r="217" spans="1:24" s="1562" customFormat="1" ht="13.5" customHeight="1" thickBot="1" x14ac:dyDescent="0.25">
      <c r="A217" s="3382">
        <v>2</v>
      </c>
      <c r="B217" s="3367">
        <v>2</v>
      </c>
      <c r="C217" s="3385">
        <v>4</v>
      </c>
      <c r="D217" s="3304" t="s">
        <v>763</v>
      </c>
      <c r="E217" s="3450">
        <v>22</v>
      </c>
      <c r="F217" s="2168" t="s">
        <v>748</v>
      </c>
      <c r="G217" s="2168" t="s">
        <v>764</v>
      </c>
      <c r="H217" s="2168" t="s">
        <v>30</v>
      </c>
      <c r="I217" s="1565">
        <f t="shared" si="192"/>
        <v>10.5</v>
      </c>
      <c r="J217" s="2163">
        <v>10.5</v>
      </c>
      <c r="K217" s="2163">
        <v>0</v>
      </c>
      <c r="L217" s="1566"/>
      <c r="M217" s="1565">
        <f t="shared" si="193"/>
        <v>20.100000000000001</v>
      </c>
      <c r="N217" s="2163">
        <v>20.100000000000001</v>
      </c>
      <c r="O217" s="2163">
        <v>0</v>
      </c>
      <c r="P217" s="1566">
        <v>0</v>
      </c>
      <c r="Q217" s="1565">
        <f t="shared" si="194"/>
        <v>16</v>
      </c>
      <c r="R217" s="2163">
        <v>16</v>
      </c>
      <c r="S217" s="2163">
        <v>0</v>
      </c>
      <c r="T217" s="1566">
        <v>0</v>
      </c>
      <c r="U217" s="1565">
        <f t="shared" si="195"/>
        <v>16</v>
      </c>
      <c r="V217" s="2163">
        <v>16</v>
      </c>
      <c r="W217" s="2163">
        <v>0</v>
      </c>
      <c r="X217" s="1566">
        <v>0</v>
      </c>
    </row>
    <row r="218" spans="1:24" s="1562" customFormat="1" ht="13.5" customHeight="1" thickBot="1" x14ac:dyDescent="0.25">
      <c r="A218" s="3384"/>
      <c r="B218" s="3369"/>
      <c r="C218" s="3371"/>
      <c r="D218" s="3372"/>
      <c r="E218" s="3449"/>
      <c r="F218" s="3349" t="s">
        <v>35</v>
      </c>
      <c r="G218" s="3350"/>
      <c r="H218" s="3351"/>
      <c r="I218" s="1567">
        <f t="shared" si="192"/>
        <v>10.5</v>
      </c>
      <c r="J218" s="1568">
        <f>SUM(J217)</f>
        <v>10.5</v>
      </c>
      <c r="K218" s="1568">
        <f>SUM(K217)</f>
        <v>0</v>
      </c>
      <c r="L218" s="1569">
        <f>SUM(L217)</f>
        <v>0</v>
      </c>
      <c r="M218" s="1567">
        <f t="shared" si="193"/>
        <v>20.100000000000001</v>
      </c>
      <c r="N218" s="1568">
        <f>SUM(N217)</f>
        <v>20.100000000000001</v>
      </c>
      <c r="O218" s="1568">
        <f>SUM(O217)</f>
        <v>0</v>
      </c>
      <c r="P218" s="1569">
        <f>SUM(P217)</f>
        <v>0</v>
      </c>
      <c r="Q218" s="1567">
        <f t="shared" si="194"/>
        <v>16</v>
      </c>
      <c r="R218" s="1568">
        <f>SUM(R217)</f>
        <v>16</v>
      </c>
      <c r="S218" s="1568">
        <f>SUM(S217)</f>
        <v>0</v>
      </c>
      <c r="T218" s="1569">
        <f>SUM(T217)</f>
        <v>0</v>
      </c>
      <c r="U218" s="1567">
        <f t="shared" si="195"/>
        <v>16</v>
      </c>
      <c r="V218" s="1568">
        <f>SUM(V217)</f>
        <v>16</v>
      </c>
      <c r="W218" s="1568">
        <f>SUM(W217)</f>
        <v>0</v>
      </c>
      <c r="X218" s="1569">
        <f>SUM(X217)</f>
        <v>0</v>
      </c>
    </row>
    <row r="219" spans="1:24" s="1562" customFormat="1" ht="13.5" customHeight="1" thickBot="1" x14ac:dyDescent="0.25">
      <c r="A219" s="3382">
        <v>2</v>
      </c>
      <c r="B219" s="3367">
        <v>2</v>
      </c>
      <c r="C219" s="3385">
        <v>5</v>
      </c>
      <c r="D219" s="3304" t="s">
        <v>765</v>
      </c>
      <c r="E219" s="3450">
        <v>23</v>
      </c>
      <c r="F219" s="2168" t="s">
        <v>748</v>
      </c>
      <c r="G219" s="2168" t="s">
        <v>766</v>
      </c>
      <c r="H219" s="2168" t="s">
        <v>30</v>
      </c>
      <c r="I219" s="1565">
        <f t="shared" si="192"/>
        <v>89.2</v>
      </c>
      <c r="J219" s="2163">
        <v>89.2</v>
      </c>
      <c r="K219" s="2163">
        <v>0</v>
      </c>
      <c r="L219" s="1566">
        <v>0</v>
      </c>
      <c r="M219" s="1565">
        <f t="shared" si="193"/>
        <v>127.4</v>
      </c>
      <c r="N219" s="2163">
        <v>127.4</v>
      </c>
      <c r="O219" s="2163">
        <v>0</v>
      </c>
      <c r="P219" s="1566">
        <v>0</v>
      </c>
      <c r="Q219" s="1565">
        <f t="shared" si="194"/>
        <v>105</v>
      </c>
      <c r="R219" s="2163">
        <v>105</v>
      </c>
      <c r="S219" s="2163">
        <v>0</v>
      </c>
      <c r="T219" s="1566">
        <v>0</v>
      </c>
      <c r="U219" s="1565">
        <f t="shared" si="195"/>
        <v>105</v>
      </c>
      <c r="V219" s="2163">
        <v>105</v>
      </c>
      <c r="W219" s="2163">
        <v>0</v>
      </c>
      <c r="X219" s="1566">
        <v>0</v>
      </c>
    </row>
    <row r="220" spans="1:24" s="1562" customFormat="1" ht="13.5" customHeight="1" thickBot="1" x14ac:dyDescent="0.25">
      <c r="A220" s="3384"/>
      <c r="B220" s="3369"/>
      <c r="C220" s="3371"/>
      <c r="D220" s="3372"/>
      <c r="E220" s="3449"/>
      <c r="F220" s="3349" t="s">
        <v>35</v>
      </c>
      <c r="G220" s="3350"/>
      <c r="H220" s="3351"/>
      <c r="I220" s="1567">
        <f t="shared" si="192"/>
        <v>89.2</v>
      </c>
      <c r="J220" s="1568">
        <f>SUM(J219)</f>
        <v>89.2</v>
      </c>
      <c r="K220" s="1568">
        <f>SUM(K219)</f>
        <v>0</v>
      </c>
      <c r="L220" s="1569">
        <f>SUM(L219)</f>
        <v>0</v>
      </c>
      <c r="M220" s="1567">
        <f t="shared" si="193"/>
        <v>127.4</v>
      </c>
      <c r="N220" s="1568">
        <f>SUM(N219)</f>
        <v>127.4</v>
      </c>
      <c r="O220" s="1568">
        <f>SUM(O219)</f>
        <v>0</v>
      </c>
      <c r="P220" s="1569">
        <f>SUM(P219)</f>
        <v>0</v>
      </c>
      <c r="Q220" s="1567">
        <f t="shared" si="194"/>
        <v>105</v>
      </c>
      <c r="R220" s="1568">
        <f>SUM(R219)</f>
        <v>105</v>
      </c>
      <c r="S220" s="1568">
        <f>SUM(S219)</f>
        <v>0</v>
      </c>
      <c r="T220" s="1569">
        <f>SUM(T219)</f>
        <v>0</v>
      </c>
      <c r="U220" s="1567">
        <f t="shared" si="195"/>
        <v>105</v>
      </c>
      <c r="V220" s="1568">
        <f>SUM(V219)</f>
        <v>105</v>
      </c>
      <c r="W220" s="1568">
        <f>SUM(W219)</f>
        <v>0</v>
      </c>
      <c r="X220" s="1569">
        <f>SUM(X219)</f>
        <v>0</v>
      </c>
    </row>
    <row r="221" spans="1:24" s="1562" customFormat="1" ht="13.5" customHeight="1" thickBot="1" x14ac:dyDescent="0.25">
      <c r="A221" s="3382">
        <v>2</v>
      </c>
      <c r="B221" s="3367">
        <v>2</v>
      </c>
      <c r="C221" s="3385">
        <v>6</v>
      </c>
      <c r="D221" s="3304" t="s">
        <v>767</v>
      </c>
      <c r="E221" s="3450">
        <v>24</v>
      </c>
      <c r="F221" s="2168" t="s">
        <v>748</v>
      </c>
      <c r="G221" s="2168" t="s">
        <v>768</v>
      </c>
      <c r="H221" s="2168" t="s">
        <v>30</v>
      </c>
      <c r="I221" s="1565">
        <f t="shared" si="192"/>
        <v>9</v>
      </c>
      <c r="J221" s="2163">
        <f>9</f>
        <v>9</v>
      </c>
      <c r="K221" s="2163">
        <v>0</v>
      </c>
      <c r="L221" s="1566">
        <v>0</v>
      </c>
      <c r="M221" s="1565">
        <f t="shared" si="193"/>
        <v>18.399999999999999</v>
      </c>
      <c r="N221" s="2163">
        <v>18.399999999999999</v>
      </c>
      <c r="O221" s="2163">
        <v>0</v>
      </c>
      <c r="P221" s="1566">
        <v>0</v>
      </c>
      <c r="Q221" s="1565">
        <f t="shared" si="194"/>
        <v>15</v>
      </c>
      <c r="R221" s="2163">
        <v>15</v>
      </c>
      <c r="S221" s="2163">
        <v>0</v>
      </c>
      <c r="T221" s="1566">
        <v>0</v>
      </c>
      <c r="U221" s="1565">
        <f t="shared" si="195"/>
        <v>15</v>
      </c>
      <c r="V221" s="2163">
        <v>15</v>
      </c>
      <c r="W221" s="2163">
        <v>0</v>
      </c>
      <c r="X221" s="1566">
        <v>0</v>
      </c>
    </row>
    <row r="222" spans="1:24" s="1562" customFormat="1" ht="13.5" customHeight="1" thickBot="1" x14ac:dyDescent="0.25">
      <c r="A222" s="3384"/>
      <c r="B222" s="3369"/>
      <c r="C222" s="3371"/>
      <c r="D222" s="3372"/>
      <c r="E222" s="3449"/>
      <c r="F222" s="3349" t="s">
        <v>35</v>
      </c>
      <c r="G222" s="3350"/>
      <c r="H222" s="3351"/>
      <c r="I222" s="1567">
        <f t="shared" si="192"/>
        <v>9</v>
      </c>
      <c r="J222" s="1568">
        <f>SUM(J221)</f>
        <v>9</v>
      </c>
      <c r="K222" s="1568">
        <f>SUM(K221)</f>
        <v>0</v>
      </c>
      <c r="L222" s="1569">
        <f>SUM(L221)</f>
        <v>0</v>
      </c>
      <c r="M222" s="1567">
        <f t="shared" si="193"/>
        <v>18.399999999999999</v>
      </c>
      <c r="N222" s="1568">
        <f>SUM(N221)</f>
        <v>18.399999999999999</v>
      </c>
      <c r="O222" s="1568">
        <f>SUM(O221)</f>
        <v>0</v>
      </c>
      <c r="P222" s="1569">
        <f>SUM(P221)</f>
        <v>0</v>
      </c>
      <c r="Q222" s="1567">
        <f t="shared" si="194"/>
        <v>15</v>
      </c>
      <c r="R222" s="1568">
        <f>SUM(R221)</f>
        <v>15</v>
      </c>
      <c r="S222" s="1568">
        <f>SUM(S221)</f>
        <v>0</v>
      </c>
      <c r="T222" s="1569">
        <f>SUM(T221)</f>
        <v>0</v>
      </c>
      <c r="U222" s="1567">
        <f t="shared" si="195"/>
        <v>15</v>
      </c>
      <c r="V222" s="1568">
        <f>SUM(V221)</f>
        <v>15</v>
      </c>
      <c r="W222" s="1568">
        <f>SUM(W221)</f>
        <v>0</v>
      </c>
      <c r="X222" s="1569">
        <f>SUM(X221)</f>
        <v>0</v>
      </c>
    </row>
    <row r="223" spans="1:24" s="1562" customFormat="1" ht="13.5" customHeight="1" thickBot="1" x14ac:dyDescent="0.25">
      <c r="A223" s="3382">
        <v>2</v>
      </c>
      <c r="B223" s="3367">
        <v>2</v>
      </c>
      <c r="C223" s="3385">
        <v>7</v>
      </c>
      <c r="D223" s="3304" t="s">
        <v>769</v>
      </c>
      <c r="E223" s="3450">
        <v>25</v>
      </c>
      <c r="F223" s="2168" t="s">
        <v>748</v>
      </c>
      <c r="G223" s="2168" t="s">
        <v>770</v>
      </c>
      <c r="H223" s="2168" t="s">
        <v>30</v>
      </c>
      <c r="I223" s="1565">
        <f t="shared" si="192"/>
        <v>31</v>
      </c>
      <c r="J223" s="2163">
        <f>31</f>
        <v>31</v>
      </c>
      <c r="K223" s="2163">
        <v>0</v>
      </c>
      <c r="L223" s="1566">
        <v>0</v>
      </c>
      <c r="M223" s="1565">
        <f t="shared" si="193"/>
        <v>50.6</v>
      </c>
      <c r="N223" s="2163">
        <v>50.6</v>
      </c>
      <c r="O223" s="2163">
        <v>0</v>
      </c>
      <c r="P223" s="1566">
        <v>0</v>
      </c>
      <c r="Q223" s="1565">
        <f t="shared" si="194"/>
        <v>41</v>
      </c>
      <c r="R223" s="2163">
        <v>41</v>
      </c>
      <c r="S223" s="2163">
        <v>0</v>
      </c>
      <c r="T223" s="1566">
        <v>0</v>
      </c>
      <c r="U223" s="1565">
        <f t="shared" si="195"/>
        <v>41</v>
      </c>
      <c r="V223" s="2163">
        <v>41</v>
      </c>
      <c r="W223" s="2163">
        <v>0</v>
      </c>
      <c r="X223" s="1566">
        <v>0</v>
      </c>
    </row>
    <row r="224" spans="1:24" s="1562" customFormat="1" ht="13.5" customHeight="1" thickBot="1" x14ac:dyDescent="0.25">
      <c r="A224" s="3384"/>
      <c r="B224" s="3369"/>
      <c r="C224" s="3371"/>
      <c r="D224" s="3372"/>
      <c r="E224" s="3449"/>
      <c r="F224" s="3349" t="s">
        <v>35</v>
      </c>
      <c r="G224" s="3350"/>
      <c r="H224" s="3351"/>
      <c r="I224" s="1567">
        <f t="shared" si="192"/>
        <v>31</v>
      </c>
      <c r="J224" s="1568">
        <f>SUM(J223)</f>
        <v>31</v>
      </c>
      <c r="K224" s="1568">
        <f>SUM(K223)</f>
        <v>0</v>
      </c>
      <c r="L224" s="1569">
        <f>SUM(L223)</f>
        <v>0</v>
      </c>
      <c r="M224" s="1567">
        <f t="shared" si="193"/>
        <v>50.6</v>
      </c>
      <c r="N224" s="1568">
        <f>SUM(N223)</f>
        <v>50.6</v>
      </c>
      <c r="O224" s="1568">
        <f>SUM(O223)</f>
        <v>0</v>
      </c>
      <c r="P224" s="1569">
        <f>SUM(P223)</f>
        <v>0</v>
      </c>
      <c r="Q224" s="1567">
        <f t="shared" si="194"/>
        <v>41</v>
      </c>
      <c r="R224" s="1568">
        <f>SUM(R223)</f>
        <v>41</v>
      </c>
      <c r="S224" s="1568">
        <f>SUM(S223)</f>
        <v>0</v>
      </c>
      <c r="T224" s="1569">
        <f>SUM(T223)</f>
        <v>0</v>
      </c>
      <c r="U224" s="1567">
        <f t="shared" si="195"/>
        <v>41</v>
      </c>
      <c r="V224" s="1568">
        <f>SUM(V223)</f>
        <v>41</v>
      </c>
      <c r="W224" s="1568">
        <f>SUM(W223)</f>
        <v>0</v>
      </c>
      <c r="X224" s="1569">
        <f>SUM(X223)</f>
        <v>0</v>
      </c>
    </row>
    <row r="225" spans="1:24" s="1562" customFormat="1" ht="13.5" customHeight="1" thickBot="1" x14ac:dyDescent="0.25">
      <c r="A225" s="3382">
        <v>2</v>
      </c>
      <c r="B225" s="3367">
        <v>2</v>
      </c>
      <c r="C225" s="3385">
        <v>8</v>
      </c>
      <c r="D225" s="3304" t="s">
        <v>771</v>
      </c>
      <c r="E225" s="3450">
        <v>26</v>
      </c>
      <c r="F225" s="2168" t="s">
        <v>748</v>
      </c>
      <c r="G225" s="2168" t="s">
        <v>772</v>
      </c>
      <c r="H225" s="2168" t="s">
        <v>30</v>
      </c>
      <c r="I225" s="1565">
        <f t="shared" si="192"/>
        <v>31</v>
      </c>
      <c r="J225" s="2163">
        <v>31</v>
      </c>
      <c r="K225" s="2163">
        <v>0</v>
      </c>
      <c r="L225" s="1566">
        <v>0</v>
      </c>
      <c r="M225" s="1565">
        <f t="shared" si="193"/>
        <v>70.5</v>
      </c>
      <c r="N225" s="2163">
        <v>70.5</v>
      </c>
      <c r="O225" s="2163">
        <v>0</v>
      </c>
      <c r="P225" s="1566">
        <v>0</v>
      </c>
      <c r="Q225" s="1565">
        <f t="shared" si="194"/>
        <v>57</v>
      </c>
      <c r="R225" s="2163">
        <v>57</v>
      </c>
      <c r="S225" s="2163">
        <v>0</v>
      </c>
      <c r="T225" s="1566">
        <v>0</v>
      </c>
      <c r="U225" s="1565">
        <f t="shared" si="195"/>
        <v>57</v>
      </c>
      <c r="V225" s="2163">
        <v>57</v>
      </c>
      <c r="W225" s="2163">
        <v>0</v>
      </c>
      <c r="X225" s="1566">
        <v>0</v>
      </c>
    </row>
    <row r="226" spans="1:24" s="1562" customFormat="1" ht="13.5" customHeight="1" thickBot="1" x14ac:dyDescent="0.25">
      <c r="A226" s="3384"/>
      <c r="B226" s="3369"/>
      <c r="C226" s="3371"/>
      <c r="D226" s="3372"/>
      <c r="E226" s="3449"/>
      <c r="F226" s="3349" t="s">
        <v>35</v>
      </c>
      <c r="G226" s="3350"/>
      <c r="H226" s="3351"/>
      <c r="I226" s="1567">
        <f t="shared" si="192"/>
        <v>31</v>
      </c>
      <c r="J226" s="1568">
        <f>SUM(J225)</f>
        <v>31</v>
      </c>
      <c r="K226" s="1568">
        <f>SUM(K225)</f>
        <v>0</v>
      </c>
      <c r="L226" s="1569">
        <f>SUM(L225)</f>
        <v>0</v>
      </c>
      <c r="M226" s="1567">
        <f t="shared" si="193"/>
        <v>70.5</v>
      </c>
      <c r="N226" s="1568">
        <f>SUM(N225)</f>
        <v>70.5</v>
      </c>
      <c r="O226" s="1568">
        <f>SUM(O225)</f>
        <v>0</v>
      </c>
      <c r="P226" s="1569">
        <f>SUM(P225)</f>
        <v>0</v>
      </c>
      <c r="Q226" s="1567">
        <f t="shared" si="194"/>
        <v>57</v>
      </c>
      <c r="R226" s="1568">
        <f>SUM(R225)</f>
        <v>57</v>
      </c>
      <c r="S226" s="1568">
        <f>SUM(S225)</f>
        <v>0</v>
      </c>
      <c r="T226" s="1569">
        <f>SUM(T225)</f>
        <v>0</v>
      </c>
      <c r="U226" s="1567">
        <f t="shared" si="195"/>
        <v>57</v>
      </c>
      <c r="V226" s="1568">
        <f>SUM(V225)</f>
        <v>57</v>
      </c>
      <c r="W226" s="1568">
        <f>SUM(W225)</f>
        <v>0</v>
      </c>
      <c r="X226" s="1569">
        <f>SUM(X225)</f>
        <v>0</v>
      </c>
    </row>
    <row r="227" spans="1:24" s="1562" customFormat="1" ht="13.5" customHeight="1" thickBot="1" x14ac:dyDescent="0.25">
      <c r="A227" s="3382">
        <v>2</v>
      </c>
      <c r="B227" s="3367">
        <v>2</v>
      </c>
      <c r="C227" s="3385">
        <v>9</v>
      </c>
      <c r="D227" s="3304" t="s">
        <v>773</v>
      </c>
      <c r="E227" s="3450">
        <v>27</v>
      </c>
      <c r="F227" s="2168" t="s">
        <v>748</v>
      </c>
      <c r="G227" s="2168" t="s">
        <v>774</v>
      </c>
      <c r="H227" s="2168" t="s">
        <v>30</v>
      </c>
      <c r="I227" s="1565">
        <f t="shared" si="192"/>
        <v>21.7</v>
      </c>
      <c r="J227" s="2163">
        <v>21.7</v>
      </c>
      <c r="K227" s="2163">
        <v>0</v>
      </c>
      <c r="L227" s="1566">
        <v>0</v>
      </c>
      <c r="M227" s="1565">
        <f t="shared" si="193"/>
        <v>50.8</v>
      </c>
      <c r="N227" s="2163">
        <v>50.8</v>
      </c>
      <c r="O227" s="2163">
        <v>0</v>
      </c>
      <c r="P227" s="1566">
        <v>0</v>
      </c>
      <c r="Q227" s="1565">
        <f t="shared" si="194"/>
        <v>41</v>
      </c>
      <c r="R227" s="2163">
        <v>41</v>
      </c>
      <c r="S227" s="2163">
        <v>0</v>
      </c>
      <c r="T227" s="1566">
        <v>0</v>
      </c>
      <c r="U227" s="1565">
        <f t="shared" si="195"/>
        <v>41</v>
      </c>
      <c r="V227" s="2163">
        <v>41</v>
      </c>
      <c r="W227" s="2163">
        <v>0</v>
      </c>
      <c r="X227" s="1566">
        <v>0</v>
      </c>
    </row>
    <row r="228" spans="1:24" s="1562" customFormat="1" ht="13.5" customHeight="1" thickBot="1" x14ac:dyDescent="0.25">
      <c r="A228" s="3384"/>
      <c r="B228" s="3369"/>
      <c r="C228" s="3371"/>
      <c r="D228" s="3372"/>
      <c r="E228" s="3449"/>
      <c r="F228" s="3349" t="s">
        <v>35</v>
      </c>
      <c r="G228" s="3350"/>
      <c r="H228" s="3351"/>
      <c r="I228" s="1567">
        <f t="shared" si="192"/>
        <v>21.7</v>
      </c>
      <c r="J228" s="1568">
        <f>SUM(J227)</f>
        <v>21.7</v>
      </c>
      <c r="K228" s="1568">
        <f>SUM(K227)</f>
        <v>0</v>
      </c>
      <c r="L228" s="1569">
        <f>SUM(L227)</f>
        <v>0</v>
      </c>
      <c r="M228" s="1567">
        <f t="shared" si="193"/>
        <v>50.8</v>
      </c>
      <c r="N228" s="1568">
        <f>SUM(N227)</f>
        <v>50.8</v>
      </c>
      <c r="O228" s="1568">
        <f>SUM(O227)</f>
        <v>0</v>
      </c>
      <c r="P228" s="1569">
        <f>SUM(P227)</f>
        <v>0</v>
      </c>
      <c r="Q228" s="1567">
        <f t="shared" si="194"/>
        <v>41</v>
      </c>
      <c r="R228" s="1568">
        <f>SUM(R227)</f>
        <v>41</v>
      </c>
      <c r="S228" s="1568">
        <f>SUM(S227)</f>
        <v>0</v>
      </c>
      <c r="T228" s="1569">
        <f>SUM(T227)</f>
        <v>0</v>
      </c>
      <c r="U228" s="1567">
        <f t="shared" si="195"/>
        <v>41</v>
      </c>
      <c r="V228" s="1568">
        <f>SUM(V227)</f>
        <v>41</v>
      </c>
      <c r="W228" s="1568">
        <f>SUM(W227)</f>
        <v>0</v>
      </c>
      <c r="X228" s="1569">
        <f>SUM(X227)</f>
        <v>0</v>
      </c>
    </row>
    <row r="229" spans="1:24" s="1562" customFormat="1" ht="13.5" customHeight="1" thickBot="1" x14ac:dyDescent="0.25">
      <c r="A229" s="3382">
        <v>2</v>
      </c>
      <c r="B229" s="3367">
        <v>2</v>
      </c>
      <c r="C229" s="3385">
        <v>10</v>
      </c>
      <c r="D229" s="3304" t="s">
        <v>775</v>
      </c>
      <c r="E229" s="3450">
        <v>28</v>
      </c>
      <c r="F229" s="2168" t="s">
        <v>748</v>
      </c>
      <c r="G229" s="2168" t="s">
        <v>776</v>
      </c>
      <c r="H229" s="2168" t="s">
        <v>30</v>
      </c>
      <c r="I229" s="1565">
        <f t="shared" si="192"/>
        <v>18.8</v>
      </c>
      <c r="J229" s="2163">
        <v>18.8</v>
      </c>
      <c r="K229" s="2163">
        <v>0</v>
      </c>
      <c r="L229" s="1566">
        <v>0</v>
      </c>
      <c r="M229" s="1565">
        <f t="shared" si="193"/>
        <v>32.299999999999997</v>
      </c>
      <c r="N229" s="2163">
        <v>32.299999999999997</v>
      </c>
      <c r="O229" s="2163">
        <v>0</v>
      </c>
      <c r="P229" s="1566">
        <v>0</v>
      </c>
      <c r="Q229" s="1565">
        <f t="shared" si="194"/>
        <v>26</v>
      </c>
      <c r="R229" s="2163">
        <v>26</v>
      </c>
      <c r="S229" s="2163">
        <v>0</v>
      </c>
      <c r="T229" s="1566">
        <v>0</v>
      </c>
      <c r="U229" s="1565">
        <f t="shared" si="195"/>
        <v>26</v>
      </c>
      <c r="V229" s="2163">
        <v>26</v>
      </c>
      <c r="W229" s="2163">
        <v>0</v>
      </c>
      <c r="X229" s="1566">
        <v>0</v>
      </c>
    </row>
    <row r="230" spans="1:24" s="1562" customFormat="1" ht="13.5" customHeight="1" thickBot="1" x14ac:dyDescent="0.25">
      <c r="A230" s="3384"/>
      <c r="B230" s="3369"/>
      <c r="C230" s="3371"/>
      <c r="D230" s="3372"/>
      <c r="E230" s="3449"/>
      <c r="F230" s="3349" t="s">
        <v>35</v>
      </c>
      <c r="G230" s="3350"/>
      <c r="H230" s="3351"/>
      <c r="I230" s="1567">
        <f t="shared" si="192"/>
        <v>18.8</v>
      </c>
      <c r="J230" s="1568">
        <f>SUM(J229)</f>
        <v>18.8</v>
      </c>
      <c r="K230" s="1568">
        <f>SUM(K229)</f>
        <v>0</v>
      </c>
      <c r="L230" s="1569">
        <f>SUM(L229)</f>
        <v>0</v>
      </c>
      <c r="M230" s="1567">
        <f t="shared" si="193"/>
        <v>32.299999999999997</v>
      </c>
      <c r="N230" s="1568">
        <f>SUM(N229)</f>
        <v>32.299999999999997</v>
      </c>
      <c r="O230" s="1568">
        <f>SUM(O229)</f>
        <v>0</v>
      </c>
      <c r="P230" s="1569">
        <f>SUM(P229)</f>
        <v>0</v>
      </c>
      <c r="Q230" s="1567">
        <f t="shared" si="194"/>
        <v>26</v>
      </c>
      <c r="R230" s="1568">
        <f>SUM(R229)</f>
        <v>26</v>
      </c>
      <c r="S230" s="1568">
        <f>SUM(S229)</f>
        <v>0</v>
      </c>
      <c r="T230" s="1569">
        <f>SUM(T229)</f>
        <v>0</v>
      </c>
      <c r="U230" s="1567">
        <f t="shared" si="195"/>
        <v>26</v>
      </c>
      <c r="V230" s="1568">
        <f>SUM(V229)</f>
        <v>26</v>
      </c>
      <c r="W230" s="1568">
        <f>SUM(W229)</f>
        <v>0</v>
      </c>
      <c r="X230" s="1569">
        <f>SUM(X229)</f>
        <v>0</v>
      </c>
    </row>
    <row r="231" spans="1:24" s="1562" customFormat="1" ht="13.5" customHeight="1" thickBot="1" x14ac:dyDescent="0.25">
      <c r="A231" s="3382">
        <v>2</v>
      </c>
      <c r="B231" s="3367">
        <v>2</v>
      </c>
      <c r="C231" s="3385">
        <v>11</v>
      </c>
      <c r="D231" s="3304" t="s">
        <v>777</v>
      </c>
      <c r="E231" s="3450">
        <v>29</v>
      </c>
      <c r="F231" s="2168" t="s">
        <v>748</v>
      </c>
      <c r="G231" s="2168" t="s">
        <v>778</v>
      </c>
      <c r="H231" s="2168" t="s">
        <v>30</v>
      </c>
      <c r="I231" s="1565">
        <f t="shared" si="192"/>
        <v>23</v>
      </c>
      <c r="J231" s="2163">
        <f>23</f>
        <v>23</v>
      </c>
      <c r="K231" s="2163">
        <v>0</v>
      </c>
      <c r="L231" s="1566">
        <v>0</v>
      </c>
      <c r="M231" s="1565">
        <f t="shared" si="193"/>
        <v>44.1</v>
      </c>
      <c r="N231" s="2163">
        <v>44.1</v>
      </c>
      <c r="O231" s="2163">
        <v>0</v>
      </c>
      <c r="P231" s="1566">
        <v>0</v>
      </c>
      <c r="Q231" s="1565">
        <f t="shared" si="194"/>
        <v>36</v>
      </c>
      <c r="R231" s="2163">
        <v>36</v>
      </c>
      <c r="S231" s="2163">
        <v>0</v>
      </c>
      <c r="T231" s="1566">
        <v>0</v>
      </c>
      <c r="U231" s="1565">
        <f t="shared" si="195"/>
        <v>36</v>
      </c>
      <c r="V231" s="2163">
        <v>36</v>
      </c>
      <c r="W231" s="2163">
        <v>0</v>
      </c>
      <c r="X231" s="1566">
        <v>0</v>
      </c>
    </row>
    <row r="232" spans="1:24" s="1562" customFormat="1" ht="13.5" customHeight="1" thickBot="1" x14ac:dyDescent="0.25">
      <c r="A232" s="3384"/>
      <c r="B232" s="3369"/>
      <c r="C232" s="3386"/>
      <c r="D232" s="3387"/>
      <c r="E232" s="3457"/>
      <c r="F232" s="3349" t="s">
        <v>35</v>
      </c>
      <c r="G232" s="3350"/>
      <c r="H232" s="3351"/>
      <c r="I232" s="1567">
        <f t="shared" si="192"/>
        <v>23</v>
      </c>
      <c r="J232" s="1568">
        <f>SUM(J231)</f>
        <v>23</v>
      </c>
      <c r="K232" s="1568">
        <f>SUM(K231)</f>
        <v>0</v>
      </c>
      <c r="L232" s="1569">
        <f>SUM(L231)</f>
        <v>0</v>
      </c>
      <c r="M232" s="1567">
        <f t="shared" si="193"/>
        <v>44.1</v>
      </c>
      <c r="N232" s="1568">
        <f>SUM(N231)</f>
        <v>44.1</v>
      </c>
      <c r="O232" s="1568">
        <f>SUM(O231)</f>
        <v>0</v>
      </c>
      <c r="P232" s="1569">
        <f>SUM(P231)</f>
        <v>0</v>
      </c>
      <c r="Q232" s="1567">
        <f t="shared" si="194"/>
        <v>36</v>
      </c>
      <c r="R232" s="1568">
        <f>SUM(R231)</f>
        <v>36</v>
      </c>
      <c r="S232" s="1568">
        <f>SUM(S231)</f>
        <v>0</v>
      </c>
      <c r="T232" s="1569">
        <f>SUM(T231)</f>
        <v>0</v>
      </c>
      <c r="U232" s="1567">
        <f t="shared" si="195"/>
        <v>36</v>
      </c>
      <c r="V232" s="1568">
        <f>SUM(V231)</f>
        <v>36</v>
      </c>
      <c r="W232" s="1568">
        <f>SUM(W231)</f>
        <v>0</v>
      </c>
      <c r="X232" s="1569">
        <f>SUM(X231)</f>
        <v>0</v>
      </c>
    </row>
    <row r="233" spans="1:24" s="1562" customFormat="1" ht="14.25" customHeight="1" thickBot="1" x14ac:dyDescent="0.25">
      <c r="A233" s="2169">
        <v>2</v>
      </c>
      <c r="B233" s="1716">
        <v>2</v>
      </c>
      <c r="C233" s="3441" t="s">
        <v>234</v>
      </c>
      <c r="D233" s="3442"/>
      <c r="E233" s="3442"/>
      <c r="F233" s="3442"/>
      <c r="G233" s="3442"/>
      <c r="H233" s="3443"/>
      <c r="I233" s="1717">
        <f>J233+L233</f>
        <v>268.8</v>
      </c>
      <c r="J233" s="1718">
        <f>SUM(J212,J214,J216,J218,J220,J222,J224,J226,J228,J230,J232)</f>
        <v>268.8</v>
      </c>
      <c r="K233" s="1718">
        <f>SUM(K212,K214,K216,K218,K220,K222,K224,K226,K228,K230,K232)</f>
        <v>0</v>
      </c>
      <c r="L233" s="1719">
        <f>SUM(L212,L214,L216,L218,L220,L222,L224,L226,L228,L230,L232)</f>
        <v>0</v>
      </c>
      <c r="M233" s="1717">
        <f t="shared" si="193"/>
        <v>500.10000000000008</v>
      </c>
      <c r="N233" s="1718">
        <f>SUM(N212,N214,N216,N218,N220,N222,N224,N226,N228,N230,N232)</f>
        <v>500.10000000000008</v>
      </c>
      <c r="O233" s="1718">
        <f>SUM(O212,O214,O216,O218,O220,O222,O224,O226,O228,O230,O232)</f>
        <v>0</v>
      </c>
      <c r="P233" s="1719">
        <f>SUM(P212,P214,P216,P218,P220,P222,P224,P226,P228,P230,P232)</f>
        <v>0</v>
      </c>
      <c r="Q233" s="1717">
        <f t="shared" si="194"/>
        <v>407</v>
      </c>
      <c r="R233" s="1718">
        <f>SUM(R212,R214,R216,R218,R220,R222,R224,R226,R228,R230,R232)</f>
        <v>407</v>
      </c>
      <c r="S233" s="1718">
        <f>SUM(S212,S214,S216,S218,S220,S222,S224,S226,S228,S230,S232)</f>
        <v>0</v>
      </c>
      <c r="T233" s="1719">
        <f>SUM(T212,T214,T216,T218,T220,T222,T224,T226,T228,T230,T232)</f>
        <v>0</v>
      </c>
      <c r="U233" s="1717">
        <f t="shared" si="195"/>
        <v>407</v>
      </c>
      <c r="V233" s="1718">
        <f>SUM(V212,V214,V216,V218,V220,V222,V224,V226,V228,V230,V232)</f>
        <v>407</v>
      </c>
      <c r="W233" s="1718">
        <f>SUM(W212,W214,W216,W218,W220,W222,W224,W226,W228,W230,W232)</f>
        <v>0</v>
      </c>
      <c r="X233" s="1719">
        <f>SUM(X212,X214,X216,X218,X220,X222,X224,X226,X228,X230,X232)</f>
        <v>0</v>
      </c>
    </row>
    <row r="234" spans="1:24" s="1562" customFormat="1" ht="14.25" customHeight="1" thickBot="1" x14ac:dyDescent="0.25">
      <c r="A234" s="1709">
        <v>2</v>
      </c>
      <c r="B234" s="3451" t="s">
        <v>167</v>
      </c>
      <c r="C234" s="3452"/>
      <c r="D234" s="3452"/>
      <c r="E234" s="3452"/>
      <c r="F234" s="3452"/>
      <c r="G234" s="3452"/>
      <c r="H234" s="3453"/>
      <c r="I234" s="1710">
        <f>J234+L234</f>
        <v>655.7</v>
      </c>
      <c r="J234" s="1711">
        <f>J209+J233</f>
        <v>279.10000000000002</v>
      </c>
      <c r="K234" s="1711"/>
      <c r="L234" s="1712">
        <f>L209+L233</f>
        <v>376.6</v>
      </c>
      <c r="M234" s="1710">
        <f t="shared" si="193"/>
        <v>1536.6</v>
      </c>
      <c r="N234" s="1711">
        <f>N209+N233</f>
        <v>529.70000000000005</v>
      </c>
      <c r="O234" s="1711">
        <f>O209+O233</f>
        <v>9.2999999999999989</v>
      </c>
      <c r="P234" s="1712">
        <f>P209+P233</f>
        <v>1006.9</v>
      </c>
      <c r="Q234" s="1710">
        <f t="shared" si="194"/>
        <v>1585.2000000000003</v>
      </c>
      <c r="R234" s="1711">
        <f>R209+R233</f>
        <v>433.9</v>
      </c>
      <c r="S234" s="1711"/>
      <c r="T234" s="1712">
        <f>T209+T233</f>
        <v>1151.3000000000002</v>
      </c>
      <c r="U234" s="1710">
        <f t="shared" si="195"/>
        <v>477</v>
      </c>
      <c r="V234" s="1711">
        <f>V209+V233</f>
        <v>427</v>
      </c>
      <c r="W234" s="1711"/>
      <c r="X234" s="1712">
        <f>X209+X233</f>
        <v>50</v>
      </c>
    </row>
    <row r="235" spans="1:24" s="1562" customFormat="1" ht="14.25" customHeight="1" thickBot="1" x14ac:dyDescent="0.25">
      <c r="A235" s="1709">
        <v>3</v>
      </c>
      <c r="B235" s="3454" t="s">
        <v>779</v>
      </c>
      <c r="C235" s="3455"/>
      <c r="D235" s="3455"/>
      <c r="E235" s="3455"/>
      <c r="F235" s="3455"/>
      <c r="G235" s="3455"/>
      <c r="H235" s="3455"/>
      <c r="I235" s="3455"/>
      <c r="J235" s="3455"/>
      <c r="K235" s="3455"/>
      <c r="L235" s="3455"/>
      <c r="M235" s="3455"/>
      <c r="N235" s="3455"/>
      <c r="O235" s="3455"/>
      <c r="P235" s="3455"/>
      <c r="Q235" s="3455"/>
      <c r="R235" s="3455"/>
      <c r="S235" s="3455"/>
      <c r="T235" s="3455"/>
      <c r="U235" s="3455"/>
      <c r="V235" s="3455"/>
      <c r="W235" s="3455"/>
      <c r="X235" s="3456"/>
    </row>
    <row r="236" spans="1:24" s="1562" customFormat="1" ht="14.25" customHeight="1" thickBot="1" x14ac:dyDescent="0.25">
      <c r="A236" s="2169">
        <v>3</v>
      </c>
      <c r="B236" s="1706">
        <v>1</v>
      </c>
      <c r="C236" s="3445" t="s">
        <v>780</v>
      </c>
      <c r="D236" s="3446"/>
      <c r="E236" s="3446"/>
      <c r="F236" s="3446"/>
      <c r="G236" s="3446"/>
      <c r="H236" s="3446"/>
      <c r="I236" s="3446"/>
      <c r="J236" s="3446"/>
      <c r="K236" s="3446"/>
      <c r="L236" s="3446"/>
      <c r="M236" s="3446"/>
      <c r="N236" s="3446"/>
      <c r="O236" s="3446"/>
      <c r="P236" s="3446"/>
      <c r="Q236" s="3446"/>
      <c r="R236" s="3446"/>
      <c r="S236" s="3446"/>
      <c r="T236" s="3446"/>
      <c r="U236" s="3446"/>
      <c r="V236" s="3446"/>
      <c r="W236" s="3446"/>
      <c r="X236" s="3447"/>
    </row>
    <row r="237" spans="1:24" s="1562" customFormat="1" ht="23.25" customHeight="1" thickBot="1" x14ac:dyDescent="0.25">
      <c r="A237" s="3382">
        <v>3</v>
      </c>
      <c r="B237" s="3367">
        <v>1</v>
      </c>
      <c r="C237" s="3370">
        <v>1</v>
      </c>
      <c r="D237" s="3346" t="s">
        <v>781</v>
      </c>
      <c r="E237" s="3448">
        <v>9</v>
      </c>
      <c r="F237" s="2168" t="s">
        <v>782</v>
      </c>
      <c r="G237" s="2168" t="s">
        <v>783</v>
      </c>
      <c r="H237" s="2168" t="s">
        <v>30</v>
      </c>
      <c r="I237" s="1565">
        <f>J237+L237</f>
        <v>38.700000000000003</v>
      </c>
      <c r="J237" s="1670">
        <v>38.700000000000003</v>
      </c>
      <c r="K237" s="2163">
        <v>0</v>
      </c>
      <c r="L237" s="1566"/>
      <c r="M237" s="1565">
        <f>N237+P237</f>
        <v>50</v>
      </c>
      <c r="N237" s="2163">
        <v>50</v>
      </c>
      <c r="O237" s="2163">
        <v>0</v>
      </c>
      <c r="P237" s="1566"/>
      <c r="Q237" s="1565">
        <f>R237+T237</f>
        <v>50</v>
      </c>
      <c r="R237" s="2163">
        <v>50</v>
      </c>
      <c r="S237" s="2163">
        <v>0</v>
      </c>
      <c r="T237" s="1566"/>
      <c r="U237" s="1565">
        <f>V237+X237</f>
        <v>50</v>
      </c>
      <c r="V237" s="2163">
        <v>50</v>
      </c>
      <c r="W237" s="2163">
        <v>0</v>
      </c>
      <c r="X237" s="1566"/>
    </row>
    <row r="238" spans="1:24" s="1562" customFormat="1" ht="13.5" thickBot="1" x14ac:dyDescent="0.25">
      <c r="A238" s="3384"/>
      <c r="B238" s="3369"/>
      <c r="C238" s="3386"/>
      <c r="D238" s="3387"/>
      <c r="E238" s="3457"/>
      <c r="F238" s="3349" t="s">
        <v>35</v>
      </c>
      <c r="G238" s="3350"/>
      <c r="H238" s="3351"/>
      <c r="I238" s="1720">
        <f>J238+L238</f>
        <v>38.700000000000003</v>
      </c>
      <c r="J238" s="1721">
        <f t="shared" ref="J238:L239" si="196">SUM(J237)</f>
        <v>38.700000000000003</v>
      </c>
      <c r="K238" s="1721">
        <f t="shared" si="196"/>
        <v>0</v>
      </c>
      <c r="L238" s="1722">
        <f t="shared" si="196"/>
        <v>0</v>
      </c>
      <c r="M238" s="1720">
        <f>N238+P238</f>
        <v>50</v>
      </c>
      <c r="N238" s="1721">
        <f t="shared" ref="N238:P239" si="197">SUM(N237)</f>
        <v>50</v>
      </c>
      <c r="O238" s="1721">
        <f t="shared" si="197"/>
        <v>0</v>
      </c>
      <c r="P238" s="1722">
        <f t="shared" si="197"/>
        <v>0</v>
      </c>
      <c r="Q238" s="1720">
        <f>R238+T238</f>
        <v>50</v>
      </c>
      <c r="R238" s="1721">
        <f t="shared" ref="R238:X239" si="198">SUM(R237)</f>
        <v>50</v>
      </c>
      <c r="S238" s="1721">
        <f t="shared" si="198"/>
        <v>0</v>
      </c>
      <c r="T238" s="1722">
        <f t="shared" si="198"/>
        <v>0</v>
      </c>
      <c r="U238" s="1720">
        <f>V238+X238</f>
        <v>50</v>
      </c>
      <c r="V238" s="1721">
        <f t="shared" ref="V238:X238" si="199">SUM(V237)</f>
        <v>50</v>
      </c>
      <c r="W238" s="1721">
        <f t="shared" si="199"/>
        <v>0</v>
      </c>
      <c r="X238" s="1722">
        <f t="shared" si="199"/>
        <v>0</v>
      </c>
    </row>
    <row r="239" spans="1:24" s="1562" customFormat="1" ht="13.5" thickBot="1" x14ac:dyDescent="0.25">
      <c r="A239" s="2169">
        <v>3</v>
      </c>
      <c r="B239" s="1716">
        <v>1</v>
      </c>
      <c r="C239" s="3460" t="s">
        <v>234</v>
      </c>
      <c r="D239" s="3461"/>
      <c r="E239" s="3461"/>
      <c r="F239" s="3461"/>
      <c r="G239" s="3461"/>
      <c r="H239" s="3462"/>
      <c r="I239" s="1689">
        <f>J239+L239</f>
        <v>38.700000000000003</v>
      </c>
      <c r="J239" s="1594">
        <f t="shared" si="196"/>
        <v>38.700000000000003</v>
      </c>
      <c r="K239" s="1594">
        <f t="shared" si="196"/>
        <v>0</v>
      </c>
      <c r="L239" s="1690">
        <f t="shared" si="196"/>
        <v>0</v>
      </c>
      <c r="M239" s="1689">
        <f>N239+P239</f>
        <v>50</v>
      </c>
      <c r="N239" s="1594">
        <f t="shared" si="197"/>
        <v>50</v>
      </c>
      <c r="O239" s="1594">
        <f t="shared" si="197"/>
        <v>0</v>
      </c>
      <c r="P239" s="1690">
        <f t="shared" si="197"/>
        <v>0</v>
      </c>
      <c r="Q239" s="1689">
        <f>R239+T239</f>
        <v>50</v>
      </c>
      <c r="R239" s="1594">
        <f t="shared" si="198"/>
        <v>50</v>
      </c>
      <c r="S239" s="1594">
        <f t="shared" si="198"/>
        <v>0</v>
      </c>
      <c r="T239" s="1690">
        <f t="shared" si="198"/>
        <v>0</v>
      </c>
      <c r="U239" s="1689">
        <f>V239+X239</f>
        <v>50</v>
      </c>
      <c r="V239" s="1594">
        <f t="shared" si="198"/>
        <v>50</v>
      </c>
      <c r="W239" s="1594">
        <f t="shared" si="198"/>
        <v>0</v>
      </c>
      <c r="X239" s="1690">
        <f t="shared" si="198"/>
        <v>0</v>
      </c>
    </row>
    <row r="240" spans="1:24" s="1562" customFormat="1" ht="15" customHeight="1" thickBot="1" x14ac:dyDescent="0.25">
      <c r="A240" s="2169">
        <v>3</v>
      </c>
      <c r="B240" s="1716">
        <v>2</v>
      </c>
      <c r="C240" s="3445" t="s">
        <v>784</v>
      </c>
      <c r="D240" s="3446"/>
      <c r="E240" s="3446"/>
      <c r="F240" s="3446"/>
      <c r="G240" s="3446"/>
      <c r="H240" s="3446"/>
      <c r="I240" s="3446"/>
      <c r="J240" s="3446"/>
      <c r="K240" s="3446"/>
      <c r="L240" s="3446"/>
      <c r="M240" s="3446"/>
      <c r="N240" s="3446"/>
      <c r="O240" s="3446"/>
      <c r="P240" s="3446"/>
      <c r="Q240" s="3446"/>
      <c r="R240" s="3446"/>
      <c r="S240" s="3446"/>
      <c r="T240" s="3446"/>
      <c r="U240" s="3446"/>
      <c r="V240" s="3446"/>
      <c r="W240" s="3446"/>
      <c r="X240" s="3447"/>
    </row>
    <row r="241" spans="1:24" s="1562" customFormat="1" ht="18" customHeight="1" x14ac:dyDescent="0.2">
      <c r="A241" s="3382">
        <v>3</v>
      </c>
      <c r="B241" s="3367">
        <v>2</v>
      </c>
      <c r="C241" s="3370">
        <v>1</v>
      </c>
      <c r="D241" s="3463" t="s">
        <v>785</v>
      </c>
      <c r="E241" s="3448">
        <v>9</v>
      </c>
      <c r="F241" s="3464" t="s">
        <v>786</v>
      </c>
      <c r="G241" s="3464" t="s">
        <v>787</v>
      </c>
      <c r="H241" s="1723" t="s">
        <v>30</v>
      </c>
      <c r="I241" s="1565">
        <f t="shared" ref="I241" si="200">J241+L241</f>
        <v>27.88</v>
      </c>
      <c r="J241" s="2163">
        <v>27.88</v>
      </c>
      <c r="K241" s="2163">
        <v>0</v>
      </c>
      <c r="L241" s="1566">
        <v>0</v>
      </c>
      <c r="M241" s="1565">
        <f t="shared" ref="M241:M248" si="201">N241+P241</f>
        <v>50</v>
      </c>
      <c r="N241" s="1938">
        <v>50</v>
      </c>
      <c r="O241" s="2163">
        <v>0</v>
      </c>
      <c r="P241" s="1566">
        <v>0</v>
      </c>
      <c r="Q241" s="1565">
        <f>R241+T241</f>
        <v>200</v>
      </c>
      <c r="R241" s="2163">
        <v>200</v>
      </c>
      <c r="S241" s="2163">
        <v>0</v>
      </c>
      <c r="T241" s="1566">
        <v>0</v>
      </c>
      <c r="U241" s="1565">
        <f>V241+X241</f>
        <v>200</v>
      </c>
      <c r="V241" s="2163">
        <v>200</v>
      </c>
      <c r="W241" s="2163">
        <v>0</v>
      </c>
      <c r="X241" s="1566">
        <v>0</v>
      </c>
    </row>
    <row r="242" spans="1:24" s="1562" customFormat="1" ht="18" customHeight="1" x14ac:dyDescent="0.2">
      <c r="A242" s="3383"/>
      <c r="B242" s="3368"/>
      <c r="C242" s="3370"/>
      <c r="D242" s="3463"/>
      <c r="E242" s="3448"/>
      <c r="F242" s="3464"/>
      <c r="G242" s="3464"/>
      <c r="H242" s="1659" t="s">
        <v>193</v>
      </c>
      <c r="I242" s="2174">
        <v>100</v>
      </c>
      <c r="J242" s="2172">
        <f>40+60</f>
        <v>100</v>
      </c>
      <c r="K242" s="2172"/>
      <c r="L242" s="2173"/>
      <c r="M242" s="2174">
        <f t="shared" si="201"/>
        <v>0</v>
      </c>
      <c r="N242" s="1981"/>
      <c r="O242" s="2172"/>
      <c r="P242" s="2173"/>
      <c r="Q242" s="2174"/>
      <c r="R242" s="2172"/>
      <c r="S242" s="2172"/>
      <c r="T242" s="2173"/>
      <c r="U242" s="2174"/>
      <c r="V242" s="2172"/>
      <c r="W242" s="2172"/>
      <c r="X242" s="2173"/>
    </row>
    <row r="243" spans="1:24" s="1562" customFormat="1" ht="18" customHeight="1" thickBot="1" x14ac:dyDescent="0.25">
      <c r="A243" s="3383"/>
      <c r="B243" s="3368"/>
      <c r="C243" s="3370"/>
      <c r="D243" s="3463"/>
      <c r="E243" s="3448"/>
      <c r="F243" s="3465"/>
      <c r="G243" s="3464"/>
      <c r="H243" s="2308" t="s">
        <v>634</v>
      </c>
      <c r="I243" s="1572"/>
      <c r="J243" s="2145"/>
      <c r="K243" s="2145"/>
      <c r="L243" s="1573"/>
      <c r="M243" s="1572">
        <f t="shared" si="201"/>
        <v>100</v>
      </c>
      <c r="N243" s="2165">
        <v>100</v>
      </c>
      <c r="O243" s="2145"/>
      <c r="P243" s="1573"/>
      <c r="Q243" s="1572"/>
      <c r="R243" s="2145"/>
      <c r="S243" s="2145"/>
      <c r="T243" s="1573"/>
      <c r="U243" s="1572"/>
      <c r="V243" s="2145"/>
      <c r="W243" s="2145"/>
      <c r="X243" s="1573"/>
    </row>
    <row r="244" spans="1:24" s="1562" customFormat="1" ht="18" customHeight="1" thickBot="1" x14ac:dyDescent="0.25">
      <c r="A244" s="3384"/>
      <c r="B244" s="3369"/>
      <c r="C244" s="3371"/>
      <c r="D244" s="3459"/>
      <c r="E244" s="3449"/>
      <c r="F244" s="3349" t="s">
        <v>35</v>
      </c>
      <c r="G244" s="3350"/>
      <c r="H244" s="3351"/>
      <c r="I244" s="1567">
        <f t="shared" ref="I244:I247" si="202">J244+L244</f>
        <v>127.88</v>
      </c>
      <c r="J244" s="1568">
        <f>SUM(J241,J243,J242)</f>
        <v>127.88</v>
      </c>
      <c r="K244" s="1568">
        <f t="shared" ref="K244:L244" si="203">SUM(K241,K243,K242)</f>
        <v>0</v>
      </c>
      <c r="L244" s="1569">
        <f t="shared" si="203"/>
        <v>0</v>
      </c>
      <c r="M244" s="1567">
        <f t="shared" si="201"/>
        <v>150</v>
      </c>
      <c r="N244" s="1568">
        <f>SUM(N241,N243,N242)</f>
        <v>150</v>
      </c>
      <c r="O244" s="1568">
        <f t="shared" ref="O244:P244" si="204">SUM(O241,O243,O242)</f>
        <v>0</v>
      </c>
      <c r="P244" s="1569">
        <f t="shared" si="204"/>
        <v>0</v>
      </c>
      <c r="Q244" s="1567">
        <f>R244+T244</f>
        <v>200</v>
      </c>
      <c r="R244" s="1568">
        <f>SUM(R241,R243,R242)</f>
        <v>200</v>
      </c>
      <c r="S244" s="1568">
        <f t="shared" ref="S244:T244" si="205">SUM(S241,S243,S242)</f>
        <v>0</v>
      </c>
      <c r="T244" s="1569">
        <f t="shared" si="205"/>
        <v>0</v>
      </c>
      <c r="U244" s="1567">
        <f>V244+X244</f>
        <v>200</v>
      </c>
      <c r="V244" s="1568">
        <f>SUM(V241,V243,V242)</f>
        <v>200</v>
      </c>
      <c r="W244" s="1568">
        <f t="shared" ref="W244:X244" si="206">SUM(W241,W243,W242)</f>
        <v>0</v>
      </c>
      <c r="X244" s="1569">
        <f t="shared" si="206"/>
        <v>0</v>
      </c>
    </row>
    <row r="245" spans="1:24" s="1562" customFormat="1" ht="18.75" customHeight="1" thickBot="1" x14ac:dyDescent="0.25">
      <c r="A245" s="3382">
        <v>3</v>
      </c>
      <c r="B245" s="3367">
        <v>2</v>
      </c>
      <c r="C245" s="3385">
        <v>2</v>
      </c>
      <c r="D245" s="3458" t="s">
        <v>788</v>
      </c>
      <c r="E245" s="3450">
        <v>9</v>
      </c>
      <c r="F245" s="2168" t="s">
        <v>786</v>
      </c>
      <c r="G245" s="2168" t="s">
        <v>789</v>
      </c>
      <c r="H245" s="2168" t="s">
        <v>30</v>
      </c>
      <c r="I245" s="1565">
        <f t="shared" si="202"/>
        <v>3</v>
      </c>
      <c r="J245" s="2163">
        <v>3</v>
      </c>
      <c r="K245" s="2163">
        <v>0</v>
      </c>
      <c r="L245" s="1566">
        <v>0</v>
      </c>
      <c r="M245" s="1565">
        <f t="shared" si="201"/>
        <v>3</v>
      </c>
      <c r="N245" s="2163">
        <v>3</v>
      </c>
      <c r="O245" s="2163">
        <v>0</v>
      </c>
      <c r="P245" s="1566">
        <v>0</v>
      </c>
      <c r="Q245" s="1565">
        <f>R245+T245</f>
        <v>5</v>
      </c>
      <c r="R245" s="2163">
        <v>5</v>
      </c>
      <c r="S245" s="2163">
        <v>0</v>
      </c>
      <c r="T245" s="1566">
        <v>0</v>
      </c>
      <c r="U245" s="1565">
        <f>V245+X245</f>
        <v>5</v>
      </c>
      <c r="V245" s="2163">
        <v>5</v>
      </c>
      <c r="W245" s="2163">
        <v>0</v>
      </c>
      <c r="X245" s="1566">
        <v>0</v>
      </c>
    </row>
    <row r="246" spans="1:24" s="1562" customFormat="1" ht="16.5" customHeight="1" thickBot="1" x14ac:dyDescent="0.25">
      <c r="A246" s="3384"/>
      <c r="B246" s="3369"/>
      <c r="C246" s="3371"/>
      <c r="D246" s="3459"/>
      <c r="E246" s="3449"/>
      <c r="F246" s="3343" t="s">
        <v>35</v>
      </c>
      <c r="G246" s="3344"/>
      <c r="H246" s="3351"/>
      <c r="I246" s="1567">
        <f t="shared" si="202"/>
        <v>3</v>
      </c>
      <c r="J246" s="1568">
        <f>SUM(J245)</f>
        <v>3</v>
      </c>
      <c r="K246" s="1568">
        <f>SUM(K245)</f>
        <v>0</v>
      </c>
      <c r="L246" s="1569">
        <f>SUM(L245)</f>
        <v>0</v>
      </c>
      <c r="M246" s="1567">
        <f t="shared" si="201"/>
        <v>3</v>
      </c>
      <c r="N246" s="1568">
        <f>SUM(N245)</f>
        <v>3</v>
      </c>
      <c r="O246" s="1568">
        <f>SUM(O245)</f>
        <v>0</v>
      </c>
      <c r="P246" s="1569">
        <f>SUM(P245)</f>
        <v>0</v>
      </c>
      <c r="Q246" s="1567">
        <f>R246+T246</f>
        <v>5</v>
      </c>
      <c r="R246" s="1568">
        <f>SUM(R245)</f>
        <v>5</v>
      </c>
      <c r="S246" s="1568">
        <f>SUM(S245)</f>
        <v>0</v>
      </c>
      <c r="T246" s="1569">
        <f>SUM(T245)</f>
        <v>0</v>
      </c>
      <c r="U246" s="1567">
        <f>V246+X246</f>
        <v>5</v>
      </c>
      <c r="V246" s="1568">
        <f>SUM(V245)</f>
        <v>5</v>
      </c>
      <c r="W246" s="1568">
        <f>SUM(W245)</f>
        <v>0</v>
      </c>
      <c r="X246" s="1569">
        <f>SUM(X245)</f>
        <v>0</v>
      </c>
    </row>
    <row r="247" spans="1:24" s="1562" customFormat="1" ht="15.75" customHeight="1" x14ac:dyDescent="0.2">
      <c r="A247" s="3382">
        <v>3</v>
      </c>
      <c r="B247" s="3367">
        <v>2</v>
      </c>
      <c r="C247" s="3385">
        <v>3</v>
      </c>
      <c r="D247" s="3473" t="s">
        <v>790</v>
      </c>
      <c r="E247" s="3450">
        <v>9</v>
      </c>
      <c r="F247" s="3466" t="s">
        <v>291</v>
      </c>
      <c r="G247" s="3466" t="s">
        <v>791</v>
      </c>
      <c r="H247" s="1723" t="s">
        <v>30</v>
      </c>
      <c r="I247" s="1565">
        <f t="shared" si="202"/>
        <v>0</v>
      </c>
      <c r="J247" s="2163"/>
      <c r="K247" s="2163">
        <v>0</v>
      </c>
      <c r="L247" s="1566"/>
      <c r="M247" s="1565">
        <f t="shared" si="201"/>
        <v>100</v>
      </c>
      <c r="N247" s="2163"/>
      <c r="O247" s="2163">
        <v>0</v>
      </c>
      <c r="P247" s="1566">
        <v>100</v>
      </c>
      <c r="Q247" s="1565">
        <f>R247+T247</f>
        <v>100</v>
      </c>
      <c r="R247" s="2163"/>
      <c r="S247" s="2163">
        <v>0</v>
      </c>
      <c r="T247" s="1566">
        <v>100</v>
      </c>
      <c r="U247" s="1565">
        <f>V247+X247</f>
        <v>100</v>
      </c>
      <c r="V247" s="2163"/>
      <c r="W247" s="2163">
        <v>0</v>
      </c>
      <c r="X247" s="1566">
        <v>100</v>
      </c>
    </row>
    <row r="248" spans="1:24" s="1562" customFormat="1" ht="15.75" customHeight="1" thickBot="1" x14ac:dyDescent="0.25">
      <c r="A248" s="3383"/>
      <c r="B248" s="3368"/>
      <c r="C248" s="3370"/>
      <c r="D248" s="3474"/>
      <c r="E248" s="3448"/>
      <c r="F248" s="3464"/>
      <c r="G248" s="3464"/>
      <c r="H248" s="2308" t="s">
        <v>634</v>
      </c>
      <c r="I248" s="1572"/>
      <c r="J248" s="2145"/>
      <c r="K248" s="2145"/>
      <c r="L248" s="1573"/>
      <c r="M248" s="1565">
        <f t="shared" si="201"/>
        <v>0</v>
      </c>
      <c r="N248" s="2145"/>
      <c r="O248" s="2145"/>
      <c r="P248" s="1573"/>
      <c r="Q248" s="1572"/>
      <c r="R248" s="2145"/>
      <c r="S248" s="2145"/>
      <c r="T248" s="1573"/>
      <c r="U248" s="1572"/>
      <c r="V248" s="2145"/>
      <c r="W248" s="2145"/>
      <c r="X248" s="1573"/>
    </row>
    <row r="249" spans="1:24" s="1562" customFormat="1" ht="13.5" customHeight="1" thickBot="1" x14ac:dyDescent="0.25">
      <c r="A249" s="3384"/>
      <c r="B249" s="3369"/>
      <c r="C249" s="3371"/>
      <c r="D249" s="3475"/>
      <c r="E249" s="3449"/>
      <c r="F249" s="3349" t="s">
        <v>35</v>
      </c>
      <c r="G249" s="3350"/>
      <c r="H249" s="3351"/>
      <c r="I249" s="1567">
        <f t="shared" ref="I249:I250" si="207">J249+L249</f>
        <v>0</v>
      </c>
      <c r="J249" s="1568">
        <f>SUM(J247)</f>
        <v>0</v>
      </c>
      <c r="K249" s="1568">
        <f>SUM(K247)</f>
        <v>0</v>
      </c>
      <c r="L249" s="1569">
        <f>SUM(L247)</f>
        <v>0</v>
      </c>
      <c r="M249" s="1567">
        <f>N249+P249</f>
        <v>100</v>
      </c>
      <c r="N249" s="1568">
        <f>SUM(N247)</f>
        <v>0</v>
      </c>
      <c r="O249" s="1568">
        <f>SUM(O247)</f>
        <v>0</v>
      </c>
      <c r="P249" s="1569">
        <f>SUM(P247+P248)</f>
        <v>100</v>
      </c>
      <c r="Q249" s="1567">
        <f>R249+T249</f>
        <v>100</v>
      </c>
      <c r="R249" s="1568">
        <f>SUM(R247)</f>
        <v>0</v>
      </c>
      <c r="S249" s="1568">
        <f>SUM(S247)</f>
        <v>0</v>
      </c>
      <c r="T249" s="1569">
        <f>SUM(T247)</f>
        <v>100</v>
      </c>
      <c r="U249" s="1567">
        <f>V249+X249</f>
        <v>100</v>
      </c>
      <c r="V249" s="1568">
        <f>SUM(V247)</f>
        <v>0</v>
      </c>
      <c r="W249" s="1568">
        <f>SUM(W247)</f>
        <v>0</v>
      </c>
      <c r="X249" s="1569">
        <f>SUM(X247)</f>
        <v>100</v>
      </c>
    </row>
    <row r="250" spans="1:24" s="1562" customFormat="1" ht="13.5" thickBot="1" x14ac:dyDescent="0.25">
      <c r="A250" s="2169">
        <v>3</v>
      </c>
      <c r="B250" s="1716">
        <v>2</v>
      </c>
      <c r="C250" s="3441" t="s">
        <v>234</v>
      </c>
      <c r="D250" s="3442"/>
      <c r="E250" s="3442"/>
      <c r="F250" s="3442"/>
      <c r="G250" s="3442"/>
      <c r="H250" s="3443"/>
      <c r="I250" s="1593">
        <f t="shared" si="207"/>
        <v>130.88</v>
      </c>
      <c r="J250" s="1595">
        <f>SUM(J244,J246,J249)</f>
        <v>130.88</v>
      </c>
      <c r="K250" s="1595">
        <f>SUM(K244,K246,K249)</f>
        <v>0</v>
      </c>
      <c r="L250" s="1596">
        <f>SUM(L244,L246,L249)</f>
        <v>0</v>
      </c>
      <c r="M250" s="1593">
        <f>N250+P250</f>
        <v>253</v>
      </c>
      <c r="N250" s="1595">
        <f>SUM(N244,N246,N249)</f>
        <v>153</v>
      </c>
      <c r="O250" s="1595">
        <f>SUM(O244,O246,O249)</f>
        <v>0</v>
      </c>
      <c r="P250" s="1596">
        <f>SUM(P244,P246,P249)</f>
        <v>100</v>
      </c>
      <c r="Q250" s="1593">
        <f>R250+T250</f>
        <v>305</v>
      </c>
      <c r="R250" s="1595">
        <f>SUM(R244,R246,R249)</f>
        <v>205</v>
      </c>
      <c r="S250" s="1595">
        <f>SUM(S244,S246,S249)</f>
        <v>0</v>
      </c>
      <c r="T250" s="1596">
        <f>SUM(T244,T246,T249)</f>
        <v>100</v>
      </c>
      <c r="U250" s="1593">
        <f>V250+X250</f>
        <v>305</v>
      </c>
      <c r="V250" s="1595">
        <f>SUM(V244,V246,V249)</f>
        <v>205</v>
      </c>
      <c r="W250" s="1595">
        <f>SUM(W244,W246,W249)</f>
        <v>0</v>
      </c>
      <c r="X250" s="1596">
        <f>SUM(X244,X246,X249)</f>
        <v>100</v>
      </c>
    </row>
    <row r="251" spans="1:24" s="1562" customFormat="1" ht="15.75" customHeight="1" thickBot="1" x14ac:dyDescent="0.25">
      <c r="A251" s="2169">
        <v>3</v>
      </c>
      <c r="B251" s="1716">
        <v>3</v>
      </c>
      <c r="C251" s="3445" t="s">
        <v>792</v>
      </c>
      <c r="D251" s="3446"/>
      <c r="E251" s="3446"/>
      <c r="F251" s="3446"/>
      <c r="G251" s="3446"/>
      <c r="H251" s="3446"/>
      <c r="I251" s="3446"/>
      <c r="J251" s="3446"/>
      <c r="K251" s="3446"/>
      <c r="L251" s="3446"/>
      <c r="M251" s="3446"/>
      <c r="N251" s="3446"/>
      <c r="O251" s="3446"/>
      <c r="P251" s="3446"/>
      <c r="Q251" s="3446"/>
      <c r="R251" s="3446"/>
      <c r="S251" s="3446"/>
      <c r="T251" s="3446"/>
      <c r="U251" s="3446"/>
      <c r="V251" s="3446"/>
      <c r="W251" s="3446"/>
      <c r="X251" s="3447"/>
    </row>
    <row r="252" spans="1:24" s="1562" customFormat="1" ht="12.75" x14ac:dyDescent="0.2">
      <c r="A252" s="3382">
        <v>3</v>
      </c>
      <c r="B252" s="3367">
        <v>3</v>
      </c>
      <c r="C252" s="3467">
        <v>1</v>
      </c>
      <c r="D252" s="3346" t="s">
        <v>793</v>
      </c>
      <c r="E252" s="1725" t="s">
        <v>794</v>
      </c>
      <c r="F252" s="3469" t="s">
        <v>782</v>
      </c>
      <c r="G252" s="1726" t="s">
        <v>795</v>
      </c>
      <c r="H252" s="3471" t="s">
        <v>30</v>
      </c>
      <c r="I252" s="1565">
        <f>J252+L252</f>
        <v>0</v>
      </c>
      <c r="J252" s="2163"/>
      <c r="K252" s="2163">
        <v>0</v>
      </c>
      <c r="L252" s="1566">
        <v>0</v>
      </c>
      <c r="M252" s="1565">
        <f>N252+P252</f>
        <v>1</v>
      </c>
      <c r="N252" s="2163">
        <v>1</v>
      </c>
      <c r="O252" s="2163">
        <v>0</v>
      </c>
      <c r="P252" s="1566">
        <v>0</v>
      </c>
      <c r="Q252" s="1565">
        <f t="shared" ref="Q252:Q282" si="208">R252+T252</f>
        <v>2</v>
      </c>
      <c r="R252" s="2163">
        <v>2</v>
      </c>
      <c r="S252" s="2163">
        <v>0</v>
      </c>
      <c r="T252" s="1566">
        <v>0</v>
      </c>
      <c r="U252" s="1565">
        <f t="shared" ref="U252:U261" si="209">V252+X252</f>
        <v>2</v>
      </c>
      <c r="V252" s="2163">
        <v>2</v>
      </c>
      <c r="W252" s="2163">
        <v>0</v>
      </c>
      <c r="X252" s="1566">
        <v>0</v>
      </c>
    </row>
    <row r="253" spans="1:24" s="1562" customFormat="1" ht="12.75" x14ac:dyDescent="0.2">
      <c r="A253" s="3383"/>
      <c r="B253" s="3368"/>
      <c r="C253" s="3467"/>
      <c r="D253" s="3346"/>
      <c r="E253" s="1725" t="s">
        <v>796</v>
      </c>
      <c r="F253" s="3469"/>
      <c r="G253" s="1726" t="s">
        <v>797</v>
      </c>
      <c r="H253" s="3471"/>
      <c r="I253" s="1565">
        <f>J253+L253</f>
        <v>2.9</v>
      </c>
      <c r="J253" s="2059">
        <v>2.9</v>
      </c>
      <c r="K253" s="2163">
        <v>0</v>
      </c>
      <c r="L253" s="1566">
        <v>0</v>
      </c>
      <c r="M253" s="1565">
        <f>N253+P253</f>
        <v>10</v>
      </c>
      <c r="N253" s="2163">
        <v>10</v>
      </c>
      <c r="O253" s="2163">
        <v>0</v>
      </c>
      <c r="P253" s="1566">
        <v>0</v>
      </c>
      <c r="Q253" s="1565">
        <f t="shared" si="208"/>
        <v>2</v>
      </c>
      <c r="R253" s="2163">
        <v>2</v>
      </c>
      <c r="S253" s="2163">
        <v>0</v>
      </c>
      <c r="T253" s="1566">
        <v>0</v>
      </c>
      <c r="U253" s="1565">
        <f t="shared" si="209"/>
        <v>2</v>
      </c>
      <c r="V253" s="2163">
        <v>2</v>
      </c>
      <c r="W253" s="2163">
        <v>0</v>
      </c>
      <c r="X253" s="1566">
        <v>0</v>
      </c>
    </row>
    <row r="254" spans="1:24" s="1562" customFormat="1" ht="12.75" x14ac:dyDescent="0.2">
      <c r="A254" s="3383"/>
      <c r="B254" s="3368"/>
      <c r="C254" s="3467"/>
      <c r="D254" s="3346"/>
      <c r="E254" s="1727" t="s">
        <v>798</v>
      </c>
      <c r="F254" s="3469"/>
      <c r="G254" s="1728" t="s">
        <v>799</v>
      </c>
      <c r="H254" s="3471"/>
      <c r="I254" s="1565">
        <f t="shared" ref="I254:I256" si="210">J254+L254</f>
        <v>13.4</v>
      </c>
      <c r="J254" s="2059">
        <v>13.4</v>
      </c>
      <c r="K254" s="2163">
        <v>0</v>
      </c>
      <c r="L254" s="1566">
        <v>0</v>
      </c>
      <c r="M254" s="1565">
        <f t="shared" ref="M254:M256" si="211">N254+P254</f>
        <v>20</v>
      </c>
      <c r="N254" s="2163">
        <v>20</v>
      </c>
      <c r="O254" s="2163">
        <v>0</v>
      </c>
      <c r="P254" s="1566">
        <v>0</v>
      </c>
      <c r="Q254" s="1565">
        <f t="shared" si="208"/>
        <v>27</v>
      </c>
      <c r="R254" s="2163">
        <v>27</v>
      </c>
      <c r="S254" s="2163">
        <v>0</v>
      </c>
      <c r="T254" s="1566">
        <v>0</v>
      </c>
      <c r="U254" s="1565">
        <f t="shared" si="209"/>
        <v>27</v>
      </c>
      <c r="V254" s="2163">
        <v>27</v>
      </c>
      <c r="W254" s="2163">
        <v>0</v>
      </c>
      <c r="X254" s="1566">
        <v>0</v>
      </c>
    </row>
    <row r="255" spans="1:24" s="1562" customFormat="1" ht="12.75" x14ac:dyDescent="0.2">
      <c r="A255" s="3383"/>
      <c r="B255" s="3368"/>
      <c r="C255" s="3467"/>
      <c r="D255" s="3346"/>
      <c r="E255" s="2149" t="s">
        <v>800</v>
      </c>
      <c r="F255" s="3469"/>
      <c r="G255" s="2172" t="s">
        <v>801</v>
      </c>
      <c r="H255" s="3471"/>
      <c r="I255" s="1565">
        <f t="shared" si="210"/>
        <v>0</v>
      </c>
      <c r="J255" s="2059">
        <v>0</v>
      </c>
      <c r="K255" s="2163">
        <v>0</v>
      </c>
      <c r="L255" s="1566">
        <v>0</v>
      </c>
      <c r="M255" s="1565">
        <f t="shared" si="211"/>
        <v>3</v>
      </c>
      <c r="N255" s="2163">
        <v>3</v>
      </c>
      <c r="O255" s="2163">
        <v>0</v>
      </c>
      <c r="P255" s="1566">
        <v>0</v>
      </c>
      <c r="Q255" s="1565">
        <f t="shared" si="208"/>
        <v>5</v>
      </c>
      <c r="R255" s="2163">
        <v>5</v>
      </c>
      <c r="S255" s="2163">
        <v>0</v>
      </c>
      <c r="T255" s="1566">
        <v>0</v>
      </c>
      <c r="U255" s="1565">
        <f t="shared" si="209"/>
        <v>5</v>
      </c>
      <c r="V255" s="2163">
        <v>5</v>
      </c>
      <c r="W255" s="2163">
        <v>0</v>
      </c>
      <c r="X255" s="1566">
        <v>0</v>
      </c>
    </row>
    <row r="256" spans="1:24" s="1562" customFormat="1" ht="15.75" customHeight="1" x14ac:dyDescent="0.2">
      <c r="A256" s="3383"/>
      <c r="B256" s="3368"/>
      <c r="C256" s="3467"/>
      <c r="D256" s="3346"/>
      <c r="E256" s="2149" t="s">
        <v>802</v>
      </c>
      <c r="F256" s="3469"/>
      <c r="G256" s="2172" t="s">
        <v>803</v>
      </c>
      <c r="H256" s="3471"/>
      <c r="I256" s="1565">
        <f t="shared" si="210"/>
        <v>2</v>
      </c>
      <c r="J256" s="2059">
        <v>2</v>
      </c>
      <c r="K256" s="2163">
        <v>0</v>
      </c>
      <c r="L256" s="1566">
        <v>0</v>
      </c>
      <c r="M256" s="1565">
        <f t="shared" si="211"/>
        <v>2</v>
      </c>
      <c r="N256" s="2163">
        <v>2</v>
      </c>
      <c r="O256" s="2163">
        <v>0</v>
      </c>
      <c r="P256" s="1566">
        <v>0</v>
      </c>
      <c r="Q256" s="1565">
        <f t="shared" si="208"/>
        <v>7</v>
      </c>
      <c r="R256" s="2163">
        <v>7</v>
      </c>
      <c r="S256" s="2163">
        <v>0</v>
      </c>
      <c r="T256" s="1566">
        <v>0</v>
      </c>
      <c r="U256" s="1565">
        <f t="shared" si="209"/>
        <v>7</v>
      </c>
      <c r="V256" s="2163">
        <v>7</v>
      </c>
      <c r="W256" s="2163">
        <v>0</v>
      </c>
      <c r="X256" s="1566">
        <v>0</v>
      </c>
    </row>
    <row r="257" spans="1:24" s="1562" customFormat="1" ht="12.75" x14ac:dyDescent="0.2">
      <c r="A257" s="3383"/>
      <c r="B257" s="3368"/>
      <c r="C257" s="3467"/>
      <c r="D257" s="3346"/>
      <c r="E257" s="1727" t="s">
        <v>804</v>
      </c>
      <c r="F257" s="3469"/>
      <c r="G257" s="1728" t="s">
        <v>805</v>
      </c>
      <c r="H257" s="3471"/>
      <c r="I257" s="1565">
        <f>J257+L257</f>
        <v>9</v>
      </c>
      <c r="J257" s="2059">
        <v>9</v>
      </c>
      <c r="K257" s="2163">
        <v>0</v>
      </c>
      <c r="L257" s="1566">
        <v>0</v>
      </c>
      <c r="M257" s="1565">
        <f>N257+P257</f>
        <v>15</v>
      </c>
      <c r="N257" s="2163">
        <v>15</v>
      </c>
      <c r="O257" s="2163">
        <v>0</v>
      </c>
      <c r="P257" s="1566">
        <v>0</v>
      </c>
      <c r="Q257" s="1565">
        <f t="shared" si="208"/>
        <v>10</v>
      </c>
      <c r="R257" s="2163">
        <v>10</v>
      </c>
      <c r="S257" s="2163">
        <v>0</v>
      </c>
      <c r="T257" s="1566">
        <v>0</v>
      </c>
      <c r="U257" s="1565">
        <f t="shared" si="209"/>
        <v>10</v>
      </c>
      <c r="V257" s="2163">
        <v>10</v>
      </c>
      <c r="W257" s="2163">
        <v>0</v>
      </c>
      <c r="X257" s="1566">
        <v>0</v>
      </c>
    </row>
    <row r="258" spans="1:24" s="1562" customFormat="1" ht="13.5" customHeight="1" x14ac:dyDescent="0.2">
      <c r="A258" s="3383"/>
      <c r="B258" s="3368"/>
      <c r="C258" s="3467"/>
      <c r="D258" s="3346"/>
      <c r="E258" s="2149" t="s">
        <v>806</v>
      </c>
      <c r="F258" s="3469"/>
      <c r="G258" s="2172" t="s">
        <v>807</v>
      </c>
      <c r="H258" s="3471"/>
      <c r="I258" s="1565">
        <f t="shared" ref="I258" si="212">J258+L258</f>
        <v>0.8</v>
      </c>
      <c r="J258" s="2059">
        <v>0.8</v>
      </c>
      <c r="K258" s="2163">
        <v>0</v>
      </c>
      <c r="L258" s="1566">
        <v>0</v>
      </c>
      <c r="M258" s="1565">
        <f t="shared" ref="M258" si="213">N258+P258</f>
        <v>1</v>
      </c>
      <c r="N258" s="2163">
        <v>1</v>
      </c>
      <c r="O258" s="2163">
        <v>0</v>
      </c>
      <c r="P258" s="1566">
        <v>0</v>
      </c>
      <c r="Q258" s="1565">
        <f t="shared" si="208"/>
        <v>0.5</v>
      </c>
      <c r="R258" s="2163">
        <v>0.5</v>
      </c>
      <c r="S258" s="2163">
        <v>0</v>
      </c>
      <c r="T258" s="1566">
        <v>0</v>
      </c>
      <c r="U258" s="1565">
        <f t="shared" si="209"/>
        <v>0.5</v>
      </c>
      <c r="V258" s="2163">
        <v>0.5</v>
      </c>
      <c r="W258" s="2163">
        <v>0</v>
      </c>
      <c r="X258" s="1566">
        <v>0</v>
      </c>
    </row>
    <row r="259" spans="1:24" s="1562" customFormat="1" ht="12.75" x14ac:dyDescent="0.2">
      <c r="A259" s="3383"/>
      <c r="B259" s="3368"/>
      <c r="C259" s="3467"/>
      <c r="D259" s="3346"/>
      <c r="E259" s="1727" t="s">
        <v>808</v>
      </c>
      <c r="F259" s="3469"/>
      <c r="G259" s="1728" t="s">
        <v>809</v>
      </c>
      <c r="H259" s="3471"/>
      <c r="I259" s="1565">
        <f>J259+L259</f>
        <v>0.5</v>
      </c>
      <c r="J259" s="2059">
        <v>0.5</v>
      </c>
      <c r="K259" s="2163">
        <v>0</v>
      </c>
      <c r="L259" s="1566">
        <v>0</v>
      </c>
      <c r="M259" s="1565">
        <f>N259+P259</f>
        <v>15</v>
      </c>
      <c r="N259" s="2163">
        <v>15</v>
      </c>
      <c r="O259" s="2163">
        <v>0</v>
      </c>
      <c r="P259" s="1566">
        <v>0</v>
      </c>
      <c r="Q259" s="1565">
        <f t="shared" si="208"/>
        <v>5</v>
      </c>
      <c r="R259" s="2163">
        <v>5</v>
      </c>
      <c r="S259" s="2163">
        <v>0</v>
      </c>
      <c r="T259" s="1566">
        <v>0</v>
      </c>
      <c r="U259" s="1565">
        <f t="shared" si="209"/>
        <v>5</v>
      </c>
      <c r="V259" s="2163">
        <v>5</v>
      </c>
      <c r="W259" s="2163">
        <v>0</v>
      </c>
      <c r="X259" s="1566">
        <v>0</v>
      </c>
    </row>
    <row r="260" spans="1:24" s="1562" customFormat="1" ht="13.5" thickBot="1" x14ac:dyDescent="0.25">
      <c r="A260" s="3383"/>
      <c r="B260" s="3368"/>
      <c r="C260" s="3467"/>
      <c r="D260" s="3346"/>
      <c r="E260" s="2149" t="s">
        <v>810</v>
      </c>
      <c r="F260" s="3470"/>
      <c r="G260" s="2172" t="s">
        <v>811</v>
      </c>
      <c r="H260" s="3472"/>
      <c r="I260" s="1565">
        <f>J260+L260</f>
        <v>3</v>
      </c>
      <c r="J260" s="2059">
        <v>3</v>
      </c>
      <c r="K260" s="2163">
        <v>0</v>
      </c>
      <c r="L260" s="1566">
        <v>0</v>
      </c>
      <c r="M260" s="1565">
        <f>N260+P260</f>
        <v>5</v>
      </c>
      <c r="N260" s="2163">
        <v>5</v>
      </c>
      <c r="O260" s="2163">
        <v>0</v>
      </c>
      <c r="P260" s="1566">
        <v>0</v>
      </c>
      <c r="Q260" s="1565">
        <f t="shared" si="208"/>
        <v>7</v>
      </c>
      <c r="R260" s="2163">
        <v>7</v>
      </c>
      <c r="S260" s="2163">
        <v>0</v>
      </c>
      <c r="T260" s="1566">
        <v>0</v>
      </c>
      <c r="U260" s="1565">
        <f t="shared" si="209"/>
        <v>7</v>
      </c>
      <c r="V260" s="2163">
        <v>7</v>
      </c>
      <c r="W260" s="2163">
        <v>0</v>
      </c>
      <c r="X260" s="1566">
        <v>0</v>
      </c>
    </row>
    <row r="261" spans="1:24" s="1562" customFormat="1" ht="22.5" customHeight="1" thickBot="1" x14ac:dyDescent="0.25">
      <c r="A261" s="3384"/>
      <c r="B261" s="3369"/>
      <c r="C261" s="3468"/>
      <c r="D261" s="3372"/>
      <c r="E261" s="1729"/>
      <c r="F261" s="3476" t="s">
        <v>35</v>
      </c>
      <c r="G261" s="3477"/>
      <c r="H261" s="3478"/>
      <c r="I261" s="1567">
        <f t="shared" ref="I261" si="214">J261+L261</f>
        <v>31.6</v>
      </c>
      <c r="J261" s="1568">
        <f>J252+J253+J254+J255+J256+J257+J258+J259+J260</f>
        <v>31.6</v>
      </c>
      <c r="K261" s="1568">
        <f t="shared" ref="K261:L261" si="215">K252+K253+K254+K255+K256+K257+K258+K259+K260</f>
        <v>0</v>
      </c>
      <c r="L261" s="1569">
        <f t="shared" si="215"/>
        <v>0</v>
      </c>
      <c r="M261" s="1567">
        <f t="shared" ref="M261" si="216">N261+P261</f>
        <v>72</v>
      </c>
      <c r="N261" s="1568">
        <f>N252+N253+N254+N255+N256+N257+N258+N259+N260</f>
        <v>72</v>
      </c>
      <c r="O261" s="1568">
        <f t="shared" ref="O261:P261" si="217">O252+O253+O254+O255+O256+O257+O258+O259+O260</f>
        <v>0</v>
      </c>
      <c r="P261" s="1569">
        <f t="shared" si="217"/>
        <v>0</v>
      </c>
      <c r="Q261" s="1567">
        <f t="shared" si="208"/>
        <v>65.5</v>
      </c>
      <c r="R261" s="1568">
        <f>R252+R253+R254+R255+R256+R257+R258+R259+R260</f>
        <v>65.5</v>
      </c>
      <c r="S261" s="1568">
        <f t="shared" ref="S261:T261" si="218">S252+S253+S254+S255+S256+S257+S258+S259+S260</f>
        <v>0</v>
      </c>
      <c r="T261" s="1569">
        <f t="shared" si="218"/>
        <v>0</v>
      </c>
      <c r="U261" s="1567">
        <f t="shared" si="209"/>
        <v>65.5</v>
      </c>
      <c r="V261" s="1568">
        <f>V252+V253+V254+V255+V256+V257+V258+V259+V260</f>
        <v>65.5</v>
      </c>
      <c r="W261" s="1568">
        <f t="shared" ref="W261:X261" si="219">W252+W253+W254+W255+W256+W257+W258+W259+W260</f>
        <v>0</v>
      </c>
      <c r="X261" s="1569">
        <f t="shared" si="219"/>
        <v>0</v>
      </c>
    </row>
    <row r="262" spans="1:24" s="1562" customFormat="1" ht="30.75" hidden="1" customHeight="1" x14ac:dyDescent="0.2">
      <c r="A262" s="3352">
        <v>3</v>
      </c>
      <c r="B262" s="3337">
        <v>3</v>
      </c>
      <c r="C262" s="3345">
        <v>2</v>
      </c>
      <c r="D262" s="3304" t="s">
        <v>812</v>
      </c>
      <c r="E262" s="3347">
        <v>9</v>
      </c>
      <c r="F262" s="2163" t="s">
        <v>782</v>
      </c>
      <c r="G262" s="2163" t="s">
        <v>813</v>
      </c>
      <c r="H262" s="2163" t="s">
        <v>30</v>
      </c>
      <c r="I262" s="1565">
        <f>J262+L262</f>
        <v>0</v>
      </c>
      <c r="J262" s="2163">
        <v>0</v>
      </c>
      <c r="K262" s="2163">
        <v>0</v>
      </c>
      <c r="L262" s="1566"/>
      <c r="M262" s="1565">
        <f>N262+P262</f>
        <v>0</v>
      </c>
      <c r="N262" s="2163">
        <v>0</v>
      </c>
      <c r="O262" s="2163">
        <v>0</v>
      </c>
      <c r="P262" s="1566"/>
      <c r="Q262" s="1565">
        <f t="shared" si="208"/>
        <v>0</v>
      </c>
      <c r="R262" s="2163">
        <v>0</v>
      </c>
      <c r="S262" s="2163">
        <v>0</v>
      </c>
      <c r="T262" s="1566"/>
      <c r="U262" s="2306"/>
      <c r="V262" s="2306"/>
      <c r="W262" s="2306"/>
      <c r="X262" s="1643"/>
    </row>
    <row r="263" spans="1:24" s="1562" customFormat="1" ht="19.5" hidden="1" customHeight="1" x14ac:dyDescent="0.2">
      <c r="A263" s="3353"/>
      <c r="B263" s="3354"/>
      <c r="C263" s="3394"/>
      <c r="D263" s="3372"/>
      <c r="E263" s="3373"/>
      <c r="F263" s="3349" t="s">
        <v>35</v>
      </c>
      <c r="G263" s="3350"/>
      <c r="H263" s="3351"/>
      <c r="I263" s="1567">
        <f t="shared" ref="I263:I282" si="220">J263+L263</f>
        <v>0</v>
      </c>
      <c r="J263" s="1568">
        <f>SUM(J262:J262)</f>
        <v>0</v>
      </c>
      <c r="K263" s="1568">
        <f>SUM(K262:K262)</f>
        <v>0</v>
      </c>
      <c r="L263" s="1569">
        <f>SUM(L262:L262)</f>
        <v>0</v>
      </c>
      <c r="M263" s="1567">
        <f t="shared" ref="M263:M298" si="221">N263+P263</f>
        <v>0</v>
      </c>
      <c r="N263" s="1568">
        <f>SUM(N262:N262)</f>
        <v>0</v>
      </c>
      <c r="O263" s="1568">
        <f>SUM(O262:O262)</f>
        <v>0</v>
      </c>
      <c r="P263" s="1569">
        <f>SUM(P262:P262)</f>
        <v>0</v>
      </c>
      <c r="Q263" s="1567">
        <f t="shared" si="208"/>
        <v>0</v>
      </c>
      <c r="R263" s="1568">
        <f>SUM(R262:R262)</f>
        <v>0</v>
      </c>
      <c r="S263" s="1568">
        <f>SUM(S262:S262)</f>
        <v>0</v>
      </c>
      <c r="T263" s="1569">
        <f>SUM(T262:T262)</f>
        <v>0</v>
      </c>
      <c r="U263" s="2307"/>
      <c r="V263" s="2307"/>
      <c r="W263" s="2307"/>
      <c r="X263" s="1645"/>
    </row>
    <row r="264" spans="1:24" s="1562" customFormat="1" ht="16.5" customHeight="1" x14ac:dyDescent="0.2">
      <c r="A264" s="3352">
        <v>3</v>
      </c>
      <c r="B264" s="3435">
        <v>3</v>
      </c>
      <c r="C264" s="3436">
        <v>2</v>
      </c>
      <c r="D264" s="3303" t="s">
        <v>814</v>
      </c>
      <c r="E264" s="1698">
        <v>19</v>
      </c>
      <c r="F264" s="3348" t="s">
        <v>782</v>
      </c>
      <c r="G264" s="2178" t="s">
        <v>815</v>
      </c>
      <c r="H264" s="2179" t="s">
        <v>30</v>
      </c>
      <c r="I264" s="1599">
        <f t="shared" si="220"/>
        <v>0</v>
      </c>
      <c r="J264" s="1670"/>
      <c r="K264" s="2163">
        <v>0</v>
      </c>
      <c r="L264" s="1566"/>
      <c r="M264" s="1565">
        <f>N264+P264</f>
        <v>1</v>
      </c>
      <c r="N264" s="2163">
        <v>1</v>
      </c>
      <c r="O264" s="2163">
        <v>0</v>
      </c>
      <c r="P264" s="1566">
        <v>0</v>
      </c>
      <c r="Q264" s="1565">
        <f t="shared" si="208"/>
        <v>5</v>
      </c>
      <c r="R264" s="2163">
        <v>5</v>
      </c>
      <c r="S264" s="2163">
        <v>0</v>
      </c>
      <c r="T264" s="1566"/>
      <c r="U264" s="1565">
        <f t="shared" ref="U264" si="222">V264+X264</f>
        <v>5</v>
      </c>
      <c r="V264" s="2163">
        <v>5</v>
      </c>
      <c r="W264" s="2163">
        <v>0</v>
      </c>
      <c r="X264" s="1566"/>
    </row>
    <row r="265" spans="1:24" s="1562" customFormat="1" ht="16.5" customHeight="1" x14ac:dyDescent="0.2">
      <c r="A265" s="3396"/>
      <c r="B265" s="3435"/>
      <c r="C265" s="3345"/>
      <c r="D265" s="3304"/>
      <c r="E265" s="2051">
        <v>22</v>
      </c>
      <c r="F265" s="3342"/>
      <c r="G265" s="2163" t="s">
        <v>816</v>
      </c>
      <c r="H265" s="1566" t="s">
        <v>30</v>
      </c>
      <c r="I265" s="1599">
        <f t="shared" si="220"/>
        <v>2.4</v>
      </c>
      <c r="J265" s="1670">
        <v>2.4</v>
      </c>
      <c r="K265" s="2163"/>
      <c r="L265" s="1566"/>
      <c r="M265" s="1565"/>
      <c r="N265" s="2163"/>
      <c r="O265" s="2163"/>
      <c r="P265" s="1566"/>
      <c r="Q265" s="1565"/>
      <c r="R265" s="2163"/>
      <c r="S265" s="2163"/>
      <c r="T265" s="1566"/>
      <c r="U265" s="1565"/>
      <c r="V265" s="2163"/>
      <c r="W265" s="2163"/>
      <c r="X265" s="1566"/>
    </row>
    <row r="266" spans="1:24" s="1562" customFormat="1" ht="16.5" customHeight="1" x14ac:dyDescent="0.2">
      <c r="A266" s="3396"/>
      <c r="B266" s="3435"/>
      <c r="C266" s="3345"/>
      <c r="D266" s="3304"/>
      <c r="E266" s="2051">
        <v>29</v>
      </c>
      <c r="F266" s="3342"/>
      <c r="G266" s="2163" t="s">
        <v>817</v>
      </c>
      <c r="H266" s="1566" t="s">
        <v>30</v>
      </c>
      <c r="I266" s="1599">
        <f t="shared" si="220"/>
        <v>1.5</v>
      </c>
      <c r="J266" s="1670">
        <v>1.5</v>
      </c>
      <c r="K266" s="2163"/>
      <c r="L266" s="1566"/>
      <c r="M266" s="1565"/>
      <c r="N266" s="2163"/>
      <c r="O266" s="2163"/>
      <c r="P266" s="1566"/>
      <c r="Q266" s="1565"/>
      <c r="R266" s="2163"/>
      <c r="S266" s="2163"/>
      <c r="T266" s="1566"/>
      <c r="U266" s="1565"/>
      <c r="V266" s="2163"/>
      <c r="W266" s="2163"/>
      <c r="X266" s="1566"/>
    </row>
    <row r="267" spans="1:24" s="1562" customFormat="1" ht="16.5" customHeight="1" x14ac:dyDescent="0.2">
      <c r="A267" s="3396"/>
      <c r="B267" s="3435"/>
      <c r="C267" s="3345"/>
      <c r="D267" s="3304"/>
      <c r="E267" s="2051">
        <v>24</v>
      </c>
      <c r="F267" s="3342"/>
      <c r="G267" s="2163" t="s">
        <v>818</v>
      </c>
      <c r="H267" s="1566" t="s">
        <v>30</v>
      </c>
      <c r="I267" s="1599">
        <f t="shared" si="220"/>
        <v>1.6</v>
      </c>
      <c r="J267" s="1670">
        <v>1.6</v>
      </c>
      <c r="K267" s="2163"/>
      <c r="L267" s="1566"/>
      <c r="M267" s="1565"/>
      <c r="N267" s="2163"/>
      <c r="O267" s="2163"/>
      <c r="P267" s="1566"/>
      <c r="Q267" s="1565"/>
      <c r="R267" s="2163"/>
      <c r="S267" s="2163"/>
      <c r="T267" s="1566"/>
      <c r="U267" s="1565"/>
      <c r="V267" s="2163"/>
      <c r="W267" s="2163"/>
      <c r="X267" s="1566"/>
    </row>
    <row r="268" spans="1:24" s="1562" customFormat="1" ht="16.5" customHeight="1" x14ac:dyDescent="0.2">
      <c r="A268" s="3396"/>
      <c r="B268" s="3435"/>
      <c r="C268" s="3345"/>
      <c r="D268" s="3304"/>
      <c r="E268" s="2051">
        <v>25</v>
      </c>
      <c r="F268" s="3342"/>
      <c r="G268" s="2163" t="s">
        <v>819</v>
      </c>
      <c r="H268" s="1566" t="s">
        <v>30</v>
      </c>
      <c r="I268" s="1599">
        <f t="shared" si="220"/>
        <v>0.9</v>
      </c>
      <c r="J268" s="1670">
        <v>0.9</v>
      </c>
      <c r="K268" s="2163"/>
      <c r="L268" s="1566"/>
      <c r="M268" s="1565">
        <f t="shared" ref="M268:M270" si="223">N268+P268</f>
        <v>1.5</v>
      </c>
      <c r="N268" s="2163">
        <v>1.5</v>
      </c>
      <c r="O268" s="2163">
        <v>0</v>
      </c>
      <c r="P268" s="1566">
        <v>0</v>
      </c>
      <c r="Q268" s="1565"/>
      <c r="R268" s="2163"/>
      <c r="S268" s="2163"/>
      <c r="T268" s="1566"/>
      <c r="U268" s="1565"/>
      <c r="V268" s="2163"/>
      <c r="W268" s="2163"/>
      <c r="X268" s="1566"/>
    </row>
    <row r="269" spans="1:24" s="1562" customFormat="1" ht="16.5" customHeight="1" x14ac:dyDescent="0.2">
      <c r="A269" s="3396"/>
      <c r="B269" s="3435"/>
      <c r="C269" s="3345"/>
      <c r="D269" s="3304"/>
      <c r="E269" s="2051">
        <v>26</v>
      </c>
      <c r="F269" s="3342"/>
      <c r="G269" s="2163" t="s">
        <v>820</v>
      </c>
      <c r="H269" s="1566" t="s">
        <v>30</v>
      </c>
      <c r="I269" s="1599">
        <f t="shared" si="220"/>
        <v>0</v>
      </c>
      <c r="J269" s="1670"/>
      <c r="K269" s="2163">
        <v>0</v>
      </c>
      <c r="L269" s="1566"/>
      <c r="M269" s="1565">
        <f t="shared" si="223"/>
        <v>1.5</v>
      </c>
      <c r="N269" s="2163">
        <v>1.5</v>
      </c>
      <c r="O269" s="2163">
        <v>0</v>
      </c>
      <c r="P269" s="1566">
        <v>0</v>
      </c>
      <c r="Q269" s="1565">
        <f t="shared" si="208"/>
        <v>0</v>
      </c>
      <c r="R269" s="2163"/>
      <c r="S269" s="2163">
        <v>0</v>
      </c>
      <c r="T269" s="1566"/>
      <c r="U269" s="1565">
        <f t="shared" ref="U269:U272" si="224">V269+X269</f>
        <v>0</v>
      </c>
      <c r="V269" s="2163"/>
      <c r="W269" s="2163">
        <v>0</v>
      </c>
      <c r="X269" s="1566"/>
    </row>
    <row r="270" spans="1:24" s="1562" customFormat="1" ht="16.5" customHeight="1" thickBot="1" x14ac:dyDescent="0.25">
      <c r="A270" s="3396"/>
      <c r="B270" s="3435"/>
      <c r="C270" s="3345"/>
      <c r="D270" s="3304"/>
      <c r="E270" s="2052">
        <v>27</v>
      </c>
      <c r="F270" s="3374"/>
      <c r="G270" s="2146" t="s">
        <v>821</v>
      </c>
      <c r="H270" s="2145" t="s">
        <v>30</v>
      </c>
      <c r="I270" s="1599">
        <f t="shared" si="220"/>
        <v>0</v>
      </c>
      <c r="J270" s="1670"/>
      <c r="K270" s="2163">
        <v>0</v>
      </c>
      <c r="L270" s="1566"/>
      <c r="M270" s="1565">
        <f t="shared" si="223"/>
        <v>1</v>
      </c>
      <c r="N270" s="2163">
        <v>1</v>
      </c>
      <c r="O270" s="2163">
        <v>0</v>
      </c>
      <c r="P270" s="1566">
        <v>0</v>
      </c>
      <c r="Q270" s="1565">
        <f t="shared" si="208"/>
        <v>0</v>
      </c>
      <c r="R270" s="2163"/>
      <c r="S270" s="2163">
        <v>0</v>
      </c>
      <c r="T270" s="1566"/>
      <c r="U270" s="1565">
        <f t="shared" si="224"/>
        <v>0</v>
      </c>
      <c r="V270" s="2163"/>
      <c r="W270" s="2163">
        <v>0</v>
      </c>
      <c r="X270" s="1566"/>
    </row>
    <row r="271" spans="1:24" s="1559" customFormat="1" ht="18.75" customHeight="1" thickBot="1" x14ac:dyDescent="0.25">
      <c r="A271" s="3353"/>
      <c r="B271" s="3435"/>
      <c r="C271" s="3345"/>
      <c r="D271" s="3304"/>
      <c r="E271" s="1730"/>
      <c r="F271" s="3343" t="s">
        <v>35</v>
      </c>
      <c r="G271" s="3344"/>
      <c r="H271" s="3351"/>
      <c r="I271" s="1567">
        <f>J271+L271</f>
        <v>6.4</v>
      </c>
      <c r="J271" s="1568">
        <f>SUM(J264:J270)</f>
        <v>6.4</v>
      </c>
      <c r="K271" s="1568">
        <f>SUM(K264:K270)</f>
        <v>0</v>
      </c>
      <c r="L271" s="1568">
        <f>SUM(L264:L270)</f>
        <v>0</v>
      </c>
      <c r="M271" s="1567">
        <f>N271+P271</f>
        <v>5</v>
      </c>
      <c r="N271" s="1568">
        <f>SUM(N264:N270)</f>
        <v>5</v>
      </c>
      <c r="O271" s="1568">
        <f>SUM(O264:O270)</f>
        <v>0</v>
      </c>
      <c r="P271" s="1569">
        <f>SUM(P264:P270)</f>
        <v>0</v>
      </c>
      <c r="Q271" s="1567">
        <f t="shared" si="208"/>
        <v>5</v>
      </c>
      <c r="R271" s="1568">
        <f>SUM(R264:R264)</f>
        <v>5</v>
      </c>
      <c r="S271" s="1568">
        <f>SUM(S264:S264)</f>
        <v>0</v>
      </c>
      <c r="T271" s="1569">
        <f>SUM(T264:T264)</f>
        <v>0</v>
      </c>
      <c r="U271" s="1567">
        <f t="shared" si="224"/>
        <v>5</v>
      </c>
      <c r="V271" s="1568">
        <f>SUM(V264:V264)</f>
        <v>5</v>
      </c>
      <c r="W271" s="1568">
        <f>SUM(W264:W264)</f>
        <v>0</v>
      </c>
      <c r="X271" s="1569">
        <f>SUM(X264:X264)</f>
        <v>0</v>
      </c>
    </row>
    <row r="272" spans="1:24" s="1562" customFormat="1" ht="16.5" customHeight="1" x14ac:dyDescent="0.2">
      <c r="A272" s="3352">
        <v>3</v>
      </c>
      <c r="B272" s="3435">
        <v>3</v>
      </c>
      <c r="C272" s="3436">
        <v>3</v>
      </c>
      <c r="D272" s="3303" t="s">
        <v>822</v>
      </c>
      <c r="E272" s="3347">
        <v>9</v>
      </c>
      <c r="F272" s="3401" t="s">
        <v>782</v>
      </c>
      <c r="G272" s="3348" t="s">
        <v>823</v>
      </c>
      <c r="H272" s="1731" t="s">
        <v>30</v>
      </c>
      <c r="I272" s="1565">
        <f t="shared" si="220"/>
        <v>24.2</v>
      </c>
      <c r="J272" s="2163"/>
      <c r="K272" s="2163">
        <v>0</v>
      </c>
      <c r="L272" s="1566">
        <v>24.2</v>
      </c>
      <c r="M272" s="1565">
        <f t="shared" si="221"/>
        <v>50</v>
      </c>
      <c r="N272" s="2163"/>
      <c r="O272" s="2163">
        <v>0</v>
      </c>
      <c r="P272" s="1566">
        <v>50</v>
      </c>
      <c r="Q272" s="1565">
        <f t="shared" si="208"/>
        <v>75</v>
      </c>
      <c r="R272" s="2163"/>
      <c r="S272" s="2163">
        <v>0</v>
      </c>
      <c r="T272" s="1566">
        <v>75</v>
      </c>
      <c r="U272" s="1565">
        <f t="shared" si="224"/>
        <v>75</v>
      </c>
      <c r="V272" s="2163"/>
      <c r="W272" s="2163">
        <v>0</v>
      </c>
      <c r="X272" s="1566">
        <v>75</v>
      </c>
    </row>
    <row r="273" spans="1:24" s="1562" customFormat="1" ht="16.5" customHeight="1" x14ac:dyDescent="0.2">
      <c r="A273" s="3396"/>
      <c r="B273" s="3435"/>
      <c r="C273" s="3345"/>
      <c r="D273" s="3304"/>
      <c r="E273" s="3341"/>
      <c r="F273" s="3402"/>
      <c r="G273" s="3342"/>
      <c r="H273" s="2173" t="s">
        <v>34</v>
      </c>
      <c r="I273" s="2174">
        <f>J273+L273</f>
        <v>5.7</v>
      </c>
      <c r="J273" s="2172"/>
      <c r="K273" s="2172"/>
      <c r="L273" s="2173">
        <v>5.7</v>
      </c>
      <c r="M273" s="2174">
        <f>N273+P273</f>
        <v>5</v>
      </c>
      <c r="N273" s="2172">
        <v>5</v>
      </c>
      <c r="O273" s="2172"/>
      <c r="P273" s="2173"/>
      <c r="Q273" s="2174"/>
      <c r="R273" s="2172"/>
      <c r="S273" s="2172"/>
      <c r="T273" s="2173"/>
      <c r="U273" s="2174"/>
      <c r="V273" s="2172"/>
      <c r="W273" s="2172"/>
      <c r="X273" s="2173"/>
    </row>
    <row r="274" spans="1:24" s="1562" customFormat="1" ht="16.5" customHeight="1" thickBot="1" x14ac:dyDescent="0.25">
      <c r="A274" s="3396"/>
      <c r="B274" s="3435"/>
      <c r="C274" s="3345"/>
      <c r="D274" s="3304"/>
      <c r="E274" s="3373"/>
      <c r="F274" s="3403"/>
      <c r="G274" s="3374"/>
      <c r="H274" s="1664" t="s">
        <v>586</v>
      </c>
      <c r="I274" s="1572">
        <f>J274+L274</f>
        <v>0</v>
      </c>
      <c r="J274" s="2145"/>
      <c r="K274" s="2145"/>
      <c r="L274" s="1573"/>
      <c r="M274" s="1572">
        <f>N274+P274</f>
        <v>0.6</v>
      </c>
      <c r="N274" s="2145">
        <v>0.6</v>
      </c>
      <c r="O274" s="2145"/>
      <c r="P274" s="1573"/>
      <c r="Q274" s="1572"/>
      <c r="R274" s="2145"/>
      <c r="S274" s="2145"/>
      <c r="T274" s="1573"/>
      <c r="U274" s="1572"/>
      <c r="V274" s="2145"/>
      <c r="W274" s="2145"/>
      <c r="X274" s="1573"/>
    </row>
    <row r="275" spans="1:24" s="1559" customFormat="1" ht="18.75" customHeight="1" thickBot="1" x14ac:dyDescent="0.25">
      <c r="A275" s="3353"/>
      <c r="B275" s="3435"/>
      <c r="C275" s="3345"/>
      <c r="D275" s="3304"/>
      <c r="E275" s="1732"/>
      <c r="F275" s="3444" t="s">
        <v>35</v>
      </c>
      <c r="G275" s="3361"/>
      <c r="H275" s="3351"/>
      <c r="I275" s="1567">
        <f t="shared" si="220"/>
        <v>29.9</v>
      </c>
      <c r="J275" s="1568">
        <f>SUM(J272:J274)</f>
        <v>0</v>
      </c>
      <c r="K275" s="1568">
        <f t="shared" ref="K275:L275" si="225">SUM(K272:K274)</f>
        <v>0</v>
      </c>
      <c r="L275" s="1568">
        <f t="shared" si="225"/>
        <v>29.9</v>
      </c>
      <c r="M275" s="1567">
        <f t="shared" si="221"/>
        <v>55.6</v>
      </c>
      <c r="N275" s="1568">
        <f>SUM(N272:N274)</f>
        <v>5.6</v>
      </c>
      <c r="O275" s="1568">
        <f t="shared" ref="O275:P275" si="226">SUM(O272:O274)</f>
        <v>0</v>
      </c>
      <c r="P275" s="1568">
        <f t="shared" si="226"/>
        <v>50</v>
      </c>
      <c r="Q275" s="1567">
        <f t="shared" si="208"/>
        <v>75</v>
      </c>
      <c r="R275" s="1568">
        <f>SUM(R272:R274)</f>
        <v>0</v>
      </c>
      <c r="S275" s="1568">
        <f t="shared" ref="S275:T275" si="227">SUM(S272:S274)</f>
        <v>0</v>
      </c>
      <c r="T275" s="1568">
        <f t="shared" si="227"/>
        <v>75</v>
      </c>
      <c r="U275" s="1567">
        <f t="shared" ref="U275:U282" si="228">V275+X275</f>
        <v>75</v>
      </c>
      <c r="V275" s="1568">
        <f>SUM(V272:V274)</f>
        <v>0</v>
      </c>
      <c r="W275" s="1568">
        <f t="shared" ref="W275:X275" si="229">SUM(W272:W274)</f>
        <v>0</v>
      </c>
      <c r="X275" s="1569">
        <f t="shared" si="229"/>
        <v>75</v>
      </c>
    </row>
    <row r="276" spans="1:24" s="1559" customFormat="1" ht="12" thickBot="1" x14ac:dyDescent="0.25">
      <c r="A276" s="2169">
        <v>3</v>
      </c>
      <c r="B276" s="1733">
        <v>3</v>
      </c>
      <c r="C276" s="3441" t="s">
        <v>234</v>
      </c>
      <c r="D276" s="3442"/>
      <c r="E276" s="3442"/>
      <c r="F276" s="3442"/>
      <c r="G276" s="3442"/>
      <c r="H276" s="3443"/>
      <c r="I276" s="1689">
        <f t="shared" si="220"/>
        <v>67.900000000000006</v>
      </c>
      <c r="J276" s="1594">
        <f>J271+J263+J261+J275</f>
        <v>38</v>
      </c>
      <c r="K276" s="1594">
        <f>K271+K263+K261+K275</f>
        <v>0</v>
      </c>
      <c r="L276" s="1594">
        <f>L271+L263+L261+L275</f>
        <v>29.9</v>
      </c>
      <c r="M276" s="1689">
        <f t="shared" si="221"/>
        <v>132.6</v>
      </c>
      <c r="N276" s="1594">
        <f>N271+N263+N261+N275</f>
        <v>82.6</v>
      </c>
      <c r="O276" s="1594">
        <f>O271+O263+O261+O275</f>
        <v>0</v>
      </c>
      <c r="P276" s="1594">
        <f>P271+P263+P261+P275</f>
        <v>50</v>
      </c>
      <c r="Q276" s="1689">
        <f t="shared" si="208"/>
        <v>145.5</v>
      </c>
      <c r="R276" s="1594">
        <f>R271+R263+R261+R275</f>
        <v>70.5</v>
      </c>
      <c r="S276" s="1594">
        <f>S271+S263+S261+S275</f>
        <v>0</v>
      </c>
      <c r="T276" s="1594">
        <f>T271+T263+T261+T275</f>
        <v>75</v>
      </c>
      <c r="U276" s="1689">
        <f t="shared" si="228"/>
        <v>145.5</v>
      </c>
      <c r="V276" s="1594">
        <f>V271+V263+V261+V275</f>
        <v>70.5</v>
      </c>
      <c r="W276" s="1594">
        <f>W271+W263+W261+W275</f>
        <v>0</v>
      </c>
      <c r="X276" s="1690">
        <f>X271+X263+X261+X275</f>
        <v>75</v>
      </c>
    </row>
    <row r="277" spans="1:24" s="1562" customFormat="1" ht="14.25" customHeight="1" thickBot="1" x14ac:dyDescent="0.25">
      <c r="A277" s="2169">
        <v>3</v>
      </c>
      <c r="B277" s="1706">
        <v>4</v>
      </c>
      <c r="C277" s="3445" t="s">
        <v>1338</v>
      </c>
      <c r="D277" s="3446"/>
      <c r="E277" s="3446"/>
      <c r="F277" s="3446"/>
      <c r="G277" s="3446"/>
      <c r="H277" s="3446"/>
      <c r="I277" s="3446"/>
      <c r="J277" s="3446"/>
      <c r="K277" s="3446"/>
      <c r="L277" s="3446"/>
      <c r="M277" s="3446"/>
      <c r="N277" s="3446"/>
      <c r="O277" s="3446"/>
      <c r="P277" s="3446"/>
      <c r="Q277" s="3446"/>
      <c r="R277" s="3446"/>
      <c r="S277" s="3446"/>
      <c r="T277" s="3446"/>
      <c r="U277" s="3446"/>
      <c r="V277" s="3446"/>
      <c r="W277" s="3446"/>
      <c r="X277" s="3447"/>
    </row>
    <row r="278" spans="1:24" s="1562" customFormat="1" ht="23.25" customHeight="1" x14ac:dyDescent="0.2">
      <c r="A278" s="3382">
        <v>3</v>
      </c>
      <c r="B278" s="3367">
        <v>4</v>
      </c>
      <c r="C278" s="3370">
        <v>1</v>
      </c>
      <c r="D278" s="3340" t="s">
        <v>1337</v>
      </c>
      <c r="E278" s="3448">
        <v>9</v>
      </c>
      <c r="F278" s="3466" t="s">
        <v>748</v>
      </c>
      <c r="G278" s="3488" t="s">
        <v>1341</v>
      </c>
      <c r="H278" s="2168" t="s">
        <v>30</v>
      </c>
      <c r="I278" s="1565">
        <f>J278+L278</f>
        <v>0</v>
      </c>
      <c r="J278" s="1670"/>
      <c r="K278" s="1670"/>
      <c r="L278" s="1670"/>
      <c r="M278" s="1937">
        <f>N278+P278</f>
        <v>146.80000000000001</v>
      </c>
      <c r="N278" s="1938">
        <v>10</v>
      </c>
      <c r="O278" s="1938">
        <v>0</v>
      </c>
      <c r="P278" s="2005">
        <v>136.80000000000001</v>
      </c>
      <c r="Q278" s="1565">
        <f>R278+T278</f>
        <v>0</v>
      </c>
      <c r="R278" s="2163"/>
      <c r="S278" s="2163">
        <v>0</v>
      </c>
      <c r="T278" s="1566"/>
      <c r="U278" s="1565">
        <f>V278+X278</f>
        <v>0</v>
      </c>
      <c r="V278" s="2163"/>
      <c r="W278" s="2163">
        <v>0</v>
      </c>
      <c r="X278" s="1566"/>
    </row>
    <row r="279" spans="1:24" s="1562" customFormat="1" ht="23.25" customHeight="1" thickBot="1" x14ac:dyDescent="0.25">
      <c r="A279" s="3383"/>
      <c r="B279" s="3368"/>
      <c r="C279" s="3370"/>
      <c r="D279" s="3340"/>
      <c r="E279" s="3448"/>
      <c r="F279" s="3465"/>
      <c r="G279" s="3489"/>
      <c r="H279" s="2168" t="s">
        <v>111</v>
      </c>
      <c r="I279" s="1565">
        <f>J279+L279</f>
        <v>0</v>
      </c>
      <c r="J279" s="1670"/>
      <c r="K279" s="1670"/>
      <c r="L279" s="1670"/>
      <c r="M279" s="1937">
        <f>N279+P279</f>
        <v>267.2</v>
      </c>
      <c r="N279" s="1938"/>
      <c r="O279" s="1938">
        <v>0</v>
      </c>
      <c r="P279" s="2005">
        <v>267.2</v>
      </c>
      <c r="Q279" s="1565">
        <f>R279+T279</f>
        <v>0</v>
      </c>
      <c r="R279" s="2163"/>
      <c r="S279" s="2163">
        <v>0</v>
      </c>
      <c r="T279" s="1566"/>
      <c r="U279" s="1565">
        <f>V279+X279</f>
        <v>0</v>
      </c>
      <c r="V279" s="2163"/>
      <c r="W279" s="2163">
        <v>0</v>
      </c>
      <c r="X279" s="1566"/>
    </row>
    <row r="280" spans="1:24" s="1562" customFormat="1" ht="13.5" thickBot="1" x14ac:dyDescent="0.25">
      <c r="A280" s="3384"/>
      <c r="B280" s="3369"/>
      <c r="C280" s="3386"/>
      <c r="D280" s="3487"/>
      <c r="E280" s="3457"/>
      <c r="F280" s="3349" t="s">
        <v>35</v>
      </c>
      <c r="G280" s="3350"/>
      <c r="H280" s="3351"/>
      <c r="I280" s="1720">
        <f>J280+L280</f>
        <v>0</v>
      </c>
      <c r="J280" s="1721">
        <f>SUM(J278:J279)</f>
        <v>0</v>
      </c>
      <c r="K280" s="1721">
        <f t="shared" ref="K280:L280" si="230">SUM(K278:K279)</f>
        <v>0</v>
      </c>
      <c r="L280" s="1721">
        <f t="shared" si="230"/>
        <v>0</v>
      </c>
      <c r="M280" s="1720">
        <f>N280+P280</f>
        <v>414</v>
      </c>
      <c r="N280" s="1721">
        <f>SUM(N278:N279)</f>
        <v>10</v>
      </c>
      <c r="O280" s="1721">
        <f t="shared" ref="O280" si="231">SUM(O278:O279)</f>
        <v>0</v>
      </c>
      <c r="P280" s="1721">
        <f t="shared" ref="P280" si="232">SUM(P278:P279)</f>
        <v>404</v>
      </c>
      <c r="Q280" s="1720">
        <f>R280+T280</f>
        <v>0</v>
      </c>
      <c r="R280" s="1721">
        <f>SUM(R278:R279)</f>
        <v>0</v>
      </c>
      <c r="S280" s="1721">
        <f t="shared" ref="S280" si="233">SUM(S278:S279)</f>
        <v>0</v>
      </c>
      <c r="T280" s="1721">
        <f t="shared" ref="T280" si="234">SUM(T278:T279)</f>
        <v>0</v>
      </c>
      <c r="U280" s="1720">
        <f>V280+X280</f>
        <v>0</v>
      </c>
      <c r="V280" s="1721">
        <f>SUM(V278:V279)</f>
        <v>0</v>
      </c>
      <c r="W280" s="1721">
        <f t="shared" ref="W280" si="235">SUM(W278:W279)</f>
        <v>0</v>
      </c>
      <c r="X280" s="1722">
        <f t="shared" ref="X280" si="236">SUM(X278:X279)</f>
        <v>0</v>
      </c>
    </row>
    <row r="281" spans="1:24" s="1562" customFormat="1" ht="13.5" thickBot="1" x14ac:dyDescent="0.25">
      <c r="A281" s="2169">
        <v>3</v>
      </c>
      <c r="B281" s="1716">
        <v>4</v>
      </c>
      <c r="C281" s="3460" t="s">
        <v>234</v>
      </c>
      <c r="D281" s="3461"/>
      <c r="E281" s="3461"/>
      <c r="F281" s="3461"/>
      <c r="G281" s="3461"/>
      <c r="H281" s="3462"/>
      <c r="I281" s="1689">
        <f>J281+L281</f>
        <v>0</v>
      </c>
      <c r="J281" s="1594">
        <f t="shared" ref="J281:L281" si="237">SUM(J280)</f>
        <v>0</v>
      </c>
      <c r="K281" s="1594">
        <f t="shared" si="237"/>
        <v>0</v>
      </c>
      <c r="L281" s="1690">
        <f t="shared" si="237"/>
        <v>0</v>
      </c>
      <c r="M281" s="1689">
        <f>N281+P281</f>
        <v>414</v>
      </c>
      <c r="N281" s="1594">
        <f t="shared" ref="N281:P281" si="238">SUM(N280)</f>
        <v>10</v>
      </c>
      <c r="O281" s="1594">
        <f t="shared" si="238"/>
        <v>0</v>
      </c>
      <c r="P281" s="1690">
        <f t="shared" si="238"/>
        <v>404</v>
      </c>
      <c r="Q281" s="1689">
        <f>R281+T281</f>
        <v>0</v>
      </c>
      <c r="R281" s="1594">
        <f t="shared" ref="R281:T281" si="239">SUM(R280)</f>
        <v>0</v>
      </c>
      <c r="S281" s="1594">
        <f t="shared" si="239"/>
        <v>0</v>
      </c>
      <c r="T281" s="1690">
        <f t="shared" si="239"/>
        <v>0</v>
      </c>
      <c r="U281" s="1689">
        <f>V281+X281</f>
        <v>0</v>
      </c>
      <c r="V281" s="1594">
        <f t="shared" ref="V281:X281" si="240">SUM(V280)</f>
        <v>0</v>
      </c>
      <c r="W281" s="1594">
        <f t="shared" si="240"/>
        <v>0</v>
      </c>
      <c r="X281" s="1690">
        <f t="shared" si="240"/>
        <v>0</v>
      </c>
    </row>
    <row r="282" spans="1:24" s="1562" customFormat="1" ht="13.5" thickBot="1" x14ac:dyDescent="0.25">
      <c r="A282" s="1734">
        <v>3</v>
      </c>
      <c r="B282" s="3479" t="s">
        <v>167</v>
      </c>
      <c r="C282" s="3480"/>
      <c r="D282" s="3480"/>
      <c r="E282" s="3480"/>
      <c r="F282" s="3480"/>
      <c r="G282" s="3480"/>
      <c r="H282" s="3481"/>
      <c r="I282" s="1735">
        <f t="shared" si="220"/>
        <v>237.48</v>
      </c>
      <c r="J282" s="1736">
        <f>J276+J250+J239+J281</f>
        <v>207.57999999999998</v>
      </c>
      <c r="K282" s="1736">
        <f t="shared" ref="K282:L282" si="241">K276+K250+K239+K281</f>
        <v>0</v>
      </c>
      <c r="L282" s="1736">
        <f t="shared" si="241"/>
        <v>29.9</v>
      </c>
      <c r="M282" s="1735">
        <f t="shared" si="221"/>
        <v>849.6</v>
      </c>
      <c r="N282" s="1736">
        <f>N276+N250+N239+N281</f>
        <v>295.60000000000002</v>
      </c>
      <c r="O282" s="1736">
        <f t="shared" ref="O282" si="242">O276+O250+O239+O281</f>
        <v>0</v>
      </c>
      <c r="P282" s="1736">
        <f t="shared" ref="P282" si="243">P276+P250+P239+P281</f>
        <v>554</v>
      </c>
      <c r="Q282" s="1735">
        <f t="shared" si="208"/>
        <v>500.5</v>
      </c>
      <c r="R282" s="1736">
        <f>R276+R250+R239+R281</f>
        <v>325.5</v>
      </c>
      <c r="S282" s="1736">
        <f t="shared" ref="S282" si="244">S276+S250+S239+S281</f>
        <v>0</v>
      </c>
      <c r="T282" s="1736">
        <f t="shared" ref="T282" si="245">T276+T250+T239+T281</f>
        <v>175</v>
      </c>
      <c r="U282" s="1735">
        <f t="shared" si="228"/>
        <v>500.5</v>
      </c>
      <c r="V282" s="1736">
        <f>V276+V250+V239+V281</f>
        <v>325.5</v>
      </c>
      <c r="W282" s="1736">
        <f t="shared" ref="W282" si="246">W276+W250+W239+W281</f>
        <v>0</v>
      </c>
      <c r="X282" s="2309">
        <f t="shared" ref="X282" si="247">X276+X250+X239+X281</f>
        <v>175</v>
      </c>
    </row>
    <row r="283" spans="1:24" s="1562" customFormat="1" ht="13.5" thickBot="1" x14ac:dyDescent="0.25">
      <c r="A283" s="3482" t="s">
        <v>208</v>
      </c>
      <c r="B283" s="3483"/>
      <c r="C283" s="3483"/>
      <c r="D283" s="3483"/>
      <c r="E283" s="3483"/>
      <c r="F283" s="3483"/>
      <c r="G283" s="3483"/>
      <c r="H283" s="3484"/>
      <c r="I283" s="1737">
        <f>J283+L283</f>
        <v>9556.2799999999988</v>
      </c>
      <c r="J283" s="1738">
        <f>J195+J234+J282</f>
        <v>2592.4799999999996</v>
      </c>
      <c r="K283" s="1738">
        <f>K195+K234+K282</f>
        <v>0</v>
      </c>
      <c r="L283" s="1739">
        <f>L195+L234+L282</f>
        <v>6963.7999999999993</v>
      </c>
      <c r="M283" s="1737">
        <f t="shared" si="221"/>
        <v>13448.332</v>
      </c>
      <c r="N283" s="1738">
        <f t="shared" ref="N283:X283" si="248">N195+N234+N282</f>
        <v>2583.2000000000003</v>
      </c>
      <c r="O283" s="1738">
        <f t="shared" si="248"/>
        <v>9.2999999999999989</v>
      </c>
      <c r="P283" s="1739">
        <f t="shared" si="248"/>
        <v>10865.132</v>
      </c>
      <c r="Q283" s="1737">
        <f t="shared" si="248"/>
        <v>11290.7</v>
      </c>
      <c r="R283" s="1738">
        <f t="shared" si="248"/>
        <v>2274.4</v>
      </c>
      <c r="S283" s="1738">
        <f t="shared" si="248"/>
        <v>0</v>
      </c>
      <c r="T283" s="1739">
        <f t="shared" si="248"/>
        <v>9016.2999999999993</v>
      </c>
      <c r="U283" s="1737">
        <f t="shared" si="248"/>
        <v>9842.5</v>
      </c>
      <c r="V283" s="1738">
        <f t="shared" si="248"/>
        <v>2267.5</v>
      </c>
      <c r="W283" s="1738">
        <f t="shared" si="248"/>
        <v>0</v>
      </c>
      <c r="X283" s="1739">
        <f t="shared" si="248"/>
        <v>7575</v>
      </c>
    </row>
    <row r="284" spans="1:24" s="1562" customFormat="1" ht="12.75" customHeight="1" x14ac:dyDescent="0.2">
      <c r="A284" s="3485" t="s">
        <v>209</v>
      </c>
      <c r="B284" s="3302"/>
      <c r="C284" s="3302"/>
      <c r="D284" s="3302"/>
      <c r="E284" s="3302"/>
      <c r="F284" s="3302"/>
      <c r="G284" s="3302"/>
      <c r="H284" s="3486"/>
      <c r="I284" s="1740">
        <f t="shared" ref="I284" si="249">J284+L284</f>
        <v>3227.48</v>
      </c>
      <c r="J284" s="1741">
        <f>SUM(J272,J264:J270,J82,J252:J260,J247,J245,J241,J237,J231,J229,J227,J225,J223,J221,J219,J217,J215,J213,J211,J206,J202,J200,J198,J192,J188,J186,J184,J177,J173,J163,J161,J159,J154,J150,J145,J143,J138,J134,J119,J116,J113,J104,J101,J96,J94,J92,J87,J76,J74,J70,J68,J57,J55,J48,J46,J43,J40,J37,J34,J31,J28,J24,J21,J18,J15,J12,J278)</f>
        <v>1521.38</v>
      </c>
      <c r="K284" s="1741">
        <f t="shared" ref="K284:L284" si="250">SUM(K272,K264:K270,K82,K252:K260,K247,K245,K241,K237,K231,K229,K227,K225,K223,K221,K219,K217,K215,K213,K211,K206,K202,K200,K198,K192,K188,K186,K184,K177,K173,K163,K161,K159,K154,K150,K145,K143,K138,K134,K119,K116,K113,K104,K101,K96,K94,K92,K87,K76,K74,K70,K68,K57,K55,K48,K46,K43,K40,K37,K34,K31,K28,K24,K21,K18,K15,K12,K278)</f>
        <v>0</v>
      </c>
      <c r="L284" s="1741">
        <f t="shared" si="250"/>
        <v>1706.1</v>
      </c>
      <c r="M284" s="1740">
        <f t="shared" si="221"/>
        <v>3474.7</v>
      </c>
      <c r="N284" s="1741">
        <f>SUM(N272,N264:N270,N82,N252:N260,N247,N245,N241,N237,N231,N229,N227,N225,N223,N221,N219,N217,N215,N213,N211,N206,N202,N200,N198,N192,N188,N186,N184,N177,N173,N163,N161,N159,N154,N150,N145,N143,N138,N134,N119,N116,N113,N104,N101,N96,N94,N92,N87,N76,N74,N70,N68,N57,N55,N48,N46,N43,N40,N37,N34,N31,N28,N24,N21,N18,N15,N12,N278)</f>
        <v>1325.3</v>
      </c>
      <c r="O284" s="1741">
        <f t="shared" ref="O284:P284" si="251">SUM(O272,O264:O270,O82,O252:O260,O247,O245,O241,O237,O231,O229,O227,O225,O223,O221,O219,O217,O215,O213,O211,O206,O202,O200,O198,O192,O188,O186,O184,O177,O173,O163,O161,O159,O154,O150,O145,O143,O138,O134,O119,O116,O113,O104,O101,O96,O94,O92,O87,O76,O74,O70,O68,O57,O55,O48,O46,O43,O40,O37,O34,O31,O28,O24,O21,O18,O15,O12,O278)</f>
        <v>8.1</v>
      </c>
      <c r="P284" s="1741">
        <f t="shared" si="251"/>
        <v>2149.4</v>
      </c>
      <c r="Q284" s="1740">
        <f t="shared" ref="Q284" si="252">R284+T284</f>
        <v>7131.2</v>
      </c>
      <c r="R284" s="1741">
        <f>SUM(R272,R264:R270,R82,R252:R260,R247,R245,R241,R237,R231,R229,R227,R225,R223,R221,R219,R217,R215,R213,R211,R206,R202,R200,R198,R192,R188,R186,R184,R177,R173,R163,R161,R159,R154,R150,R145,R143,R138,R134,R119,R116,R113,R104,R101,R96,R94,R92,R87,R76,R74,R70,R68,R57,R55,R48,R46,R43,R40,R37,R34,R31,R28,R24,R21,R18,R15,R12,R278)</f>
        <v>2262.5</v>
      </c>
      <c r="S284" s="1741">
        <f t="shared" ref="S284:T284" si="253">SUM(S272,S264:S270,S82,S252:S260,S247,S245,S241,S237,S231,S229,S227,S225,S223,S221,S219,S217,S215,S213,S211,S206,S202,S200,S198,S192,S188,S186,S184,S177,S173,S163,S161,S159,S154,S150,S145,S143,S138,S134,S119,S116,S113,S104,S101,S96,S94,S92,S87,S76,S74,S70,S68,S57,S55,S48,S46,S43,S40,S37,S34,S31,S28,S24,S21,S18,S15,S12,S278)</f>
        <v>0</v>
      </c>
      <c r="T284" s="1741">
        <f t="shared" si="253"/>
        <v>4868.7</v>
      </c>
      <c r="U284" s="1740">
        <f t="shared" ref="U284" si="254">V284+X284</f>
        <v>6187.5</v>
      </c>
      <c r="V284" s="1741">
        <f>SUM(V272,V264:V270,V82,V252:V260,V247,V245,V241,V237,V231,V229,V227,V225,V223,V221,V219,V217,V215,V213,V211,V206,V202,V200,V198,V192,V188,V186,V184,V177,V173,V163,V161,V159,V154,V150,V145,V143,V138,V134,V119,V116,V113,V104,V101,V96,V94,V92,V87,V76,V74,V70,V68,V57,V55,V48,V46,V43,V40,V37,V34,V31,V28,V24,V21,V18,V15,V12,V278)</f>
        <v>2262.5</v>
      </c>
      <c r="W284" s="1741">
        <f t="shared" ref="W284:X284" si="255">SUM(W272,W264:W270,W82,W252:W260,W247,W245,W241,W237,W231,W229,W227,W225,W223,W221,W219,W217,W215,W213,W211,W206,W202,W200,W198,W192,W188,W186,W184,W177,W173,W163,W161,W159,W154,W150,W145,W143,W138,W134,W119,W116,W113,W104,W101,W96,W94,W92,W87,W76,W74,W70,W68,W57,W55,W48,W46,W43,W40,W37,W34,W31,W28,W24,W21,W18,W15,W12,W278)</f>
        <v>0</v>
      </c>
      <c r="X284" s="2310">
        <f t="shared" si="255"/>
        <v>3925</v>
      </c>
    </row>
    <row r="285" spans="1:24" ht="12.75" customHeight="1" x14ac:dyDescent="0.25">
      <c r="A285" s="3490" t="s">
        <v>824</v>
      </c>
      <c r="B285" s="3303"/>
      <c r="C285" s="3303"/>
      <c r="D285" s="3303"/>
      <c r="E285" s="3303"/>
      <c r="F285" s="3303"/>
      <c r="G285" s="3303"/>
      <c r="H285" s="3491"/>
      <c r="I285" s="1742">
        <f>J285+L285</f>
        <v>2632.6</v>
      </c>
      <c r="J285" s="1743">
        <f>J176+J157+J140+J136+J133+J115+J112+J91+J85+J71+J67+J54+J151</f>
        <v>910.1</v>
      </c>
      <c r="K285" s="1743">
        <f t="shared" ref="K285:L285" si="256">K176+K157+K140+K136+K133+K115+K112+K91+K85+K71+K67+K54+K151</f>
        <v>0</v>
      </c>
      <c r="L285" s="1743">
        <f t="shared" si="256"/>
        <v>1722.5</v>
      </c>
      <c r="M285" s="1742">
        <f>N285+P285</f>
        <v>3427.8</v>
      </c>
      <c r="N285" s="1743">
        <f>N176+N157+N140+N136+N133+N115+N112+N91+N85+N71+N67+N54+N151</f>
        <v>5</v>
      </c>
      <c r="O285" s="1743">
        <f t="shared" ref="O285:P285" si="257">O176+O157+O140+O136+O133+O115+O112+O91+O85+O71+O67+O54+O151</f>
        <v>0</v>
      </c>
      <c r="P285" s="1743">
        <f t="shared" si="257"/>
        <v>3422.8</v>
      </c>
      <c r="Q285" s="1742">
        <f>R285+T285</f>
        <v>3505</v>
      </c>
      <c r="R285" s="1743">
        <f>R176+R157+R140+R136+R133+R115+R112+R91+R85+R71+R67+R54+R151</f>
        <v>5</v>
      </c>
      <c r="S285" s="1743">
        <f t="shared" ref="S285:T285" si="258">S176+S157+S140+S136+S133+S115+S112+S91+S85+S71+S67+S54+S151</f>
        <v>0</v>
      </c>
      <c r="T285" s="1743">
        <f t="shared" si="258"/>
        <v>3500</v>
      </c>
      <c r="U285" s="1742">
        <f>V285+X285</f>
        <v>3455</v>
      </c>
      <c r="V285" s="1743">
        <f>V176+V157+V140+V136+V133+V115+V112+V91+V85+V71+V67+V54+V151</f>
        <v>5</v>
      </c>
      <c r="W285" s="1743">
        <f t="shared" ref="W285:X285" si="259">W176+W157+W140+W136+W133+W115+W112+W91+W85+W71+W67+W54+W151</f>
        <v>0</v>
      </c>
      <c r="X285" s="1744">
        <f t="shared" si="259"/>
        <v>3450</v>
      </c>
    </row>
    <row r="286" spans="1:24" ht="12.75" customHeight="1" x14ac:dyDescent="0.25">
      <c r="A286" s="3490" t="s">
        <v>825</v>
      </c>
      <c r="B286" s="3303"/>
      <c r="C286" s="3303"/>
      <c r="D286" s="3303"/>
      <c r="E286" s="3303"/>
      <c r="F286" s="3303"/>
      <c r="G286" s="3303"/>
      <c r="H286" s="3491"/>
      <c r="I286" s="1742">
        <f t="shared" ref="I286" si="260">J286+L286</f>
        <v>0</v>
      </c>
      <c r="J286" s="1743">
        <f>J248+J243+J155+J148+J118+J88+J58+J44+J41+J38+J35+J32+J29+J25+J22+J19+J16+J13+J79</f>
        <v>0</v>
      </c>
      <c r="K286" s="1743">
        <f t="shared" ref="K286:L286" si="261">K248+K243+K155+K148+K118+K88+K58+K44+K41+K38+K35+K32+K29+K25+K22+K19+K16+K13+K79</f>
        <v>0</v>
      </c>
      <c r="L286" s="1743">
        <f t="shared" si="261"/>
        <v>0</v>
      </c>
      <c r="M286" s="1742">
        <f t="shared" ref="M286" si="262">N286+P286</f>
        <v>3837.8</v>
      </c>
      <c r="N286" s="1743">
        <f>N248+N243+N155+N148+N118+N88+N58+N44+N41+N38+N35+N32+N29+N25+N22+N19+N16+N13+N79+N142</f>
        <v>1146.0000000000002</v>
      </c>
      <c r="O286" s="1743">
        <f t="shared" ref="O286:P286" si="263">O248+O243+O155+O148+O118+O88+O58+O44+O41+O38+O35+O32+O29+O25+O22+O19+O16+O13+O79+O142</f>
        <v>0</v>
      </c>
      <c r="P286" s="1743">
        <f t="shared" si="263"/>
        <v>2691.8</v>
      </c>
      <c r="Q286" s="1742">
        <f t="shared" ref="Q286" si="264">R286+T286</f>
        <v>0</v>
      </c>
      <c r="R286" s="1743">
        <f>R248+R243+R155+R148+R118+R88+R58+R44+R41+R38+R35+R32+R29+R25+R22+R19+R16+R13+R79</f>
        <v>0</v>
      </c>
      <c r="S286" s="1743">
        <f t="shared" ref="S286:T286" si="265">S248+S243+S155+S148+S118+S88+S58+S44+S41+S38+S35+S32+S29+S25+S22+S19+S16+S13+S79</f>
        <v>0</v>
      </c>
      <c r="T286" s="1743">
        <f t="shared" si="265"/>
        <v>0</v>
      </c>
      <c r="U286" s="1742">
        <f t="shared" ref="U286" si="266">V286+X286</f>
        <v>0</v>
      </c>
      <c r="V286" s="1743">
        <f>V248+V243+V155+V148+V118+V88+V58+V44+V41+V38+V35+V32+V29+V25+V22+V19+V16+V13+V79</f>
        <v>0</v>
      </c>
      <c r="W286" s="1743">
        <f t="shared" ref="W286:X286" si="267">W248+W243+W155+W148+W118+W88+W58+W44+W41+W38+W35+W32+W29+W25+W22+W19+W16+W13+W79</f>
        <v>0</v>
      </c>
      <c r="X286" s="1744">
        <f t="shared" si="267"/>
        <v>0</v>
      </c>
    </row>
    <row r="287" spans="1:24" ht="12.75" customHeight="1" x14ac:dyDescent="0.25">
      <c r="A287" s="3490" t="s">
        <v>826</v>
      </c>
      <c r="B287" s="3303"/>
      <c r="C287" s="3303"/>
      <c r="D287" s="3303"/>
      <c r="E287" s="3303"/>
      <c r="F287" s="3303"/>
      <c r="G287" s="3303"/>
      <c r="H287" s="3491"/>
      <c r="I287" s="1742">
        <f>J287+L287</f>
        <v>1487.3</v>
      </c>
      <c r="J287" s="1743">
        <f>J204+J175+J106+J102+J99+J65+J207+J279</f>
        <v>5.3</v>
      </c>
      <c r="K287" s="1743">
        <f t="shared" ref="K287:L287" si="268">K204+K175+K106+K102+K99+K65+K207+K279</f>
        <v>0</v>
      </c>
      <c r="L287" s="1743">
        <f t="shared" si="268"/>
        <v>1482</v>
      </c>
      <c r="M287" s="1742">
        <f>N287+P287</f>
        <v>1201.232</v>
      </c>
      <c r="N287" s="1743">
        <f>N204+N175+N106+N102+N99+N65+N207+N279</f>
        <v>1.3</v>
      </c>
      <c r="O287" s="1743">
        <f t="shared" ref="O287:P287" si="269">O204+O175+O106+O102+O99+O65+O207+O279</f>
        <v>1.2</v>
      </c>
      <c r="P287" s="1743">
        <f t="shared" si="269"/>
        <v>1199.932</v>
      </c>
      <c r="Q287" s="1742">
        <f>R287+T287</f>
        <v>454.5</v>
      </c>
      <c r="R287" s="1743">
        <f>R204+R175+R106+R102+R99+R65+R207+R279</f>
        <v>6.9</v>
      </c>
      <c r="S287" s="1743">
        <f t="shared" ref="S287:T287" si="270">S204+S175+S106+S102+S99+S65+S207+S279</f>
        <v>6.8</v>
      </c>
      <c r="T287" s="1743">
        <f t="shared" si="270"/>
        <v>447.6</v>
      </c>
      <c r="U287" s="1742">
        <f>V287+X287</f>
        <v>0</v>
      </c>
      <c r="V287" s="1743">
        <f>V204+V175+V106+V102+V99+V65+V207+V279</f>
        <v>0</v>
      </c>
      <c r="W287" s="1743">
        <f t="shared" ref="W287:X287" si="271">W204+W175+W106+W102+W99+W65+W207+W279</f>
        <v>0</v>
      </c>
      <c r="X287" s="1744">
        <f t="shared" si="271"/>
        <v>0</v>
      </c>
    </row>
    <row r="288" spans="1:24" ht="12.75" customHeight="1" x14ac:dyDescent="0.25">
      <c r="A288" s="3490" t="s">
        <v>827</v>
      </c>
      <c r="B288" s="3492"/>
      <c r="C288" s="3492"/>
      <c r="D288" s="3492"/>
      <c r="E288" s="3492"/>
      <c r="F288" s="3492"/>
      <c r="G288" s="3492"/>
      <c r="H288" s="3493"/>
      <c r="I288" s="1742">
        <f>J288+L288</f>
        <v>102.20000000000002</v>
      </c>
      <c r="J288" s="1743">
        <f>J105+J98+J66</f>
        <v>0.4</v>
      </c>
      <c r="K288" s="1743">
        <f>K105+K98+K66</f>
        <v>0</v>
      </c>
      <c r="L288" s="1744">
        <f>L105+L98+L66</f>
        <v>101.80000000000001</v>
      </c>
      <c r="M288" s="1742">
        <f>N288+P288</f>
        <v>53.9</v>
      </c>
      <c r="N288" s="1743">
        <f>N105+N98+N66</f>
        <v>0</v>
      </c>
      <c r="O288" s="1743">
        <f>O105+O98+O66</f>
        <v>0</v>
      </c>
      <c r="P288" s="1744">
        <f>P105+P98+P66</f>
        <v>53.9</v>
      </c>
      <c r="Q288" s="1742">
        <f>R288+T288</f>
        <v>0</v>
      </c>
      <c r="R288" s="1743">
        <f>R105+R98+R66</f>
        <v>0</v>
      </c>
      <c r="S288" s="1743">
        <f>S105+S98+S66</f>
        <v>0</v>
      </c>
      <c r="T288" s="1744">
        <f>T105+T98+T66</f>
        <v>0</v>
      </c>
      <c r="U288" s="1742">
        <f>V288+X288</f>
        <v>0</v>
      </c>
      <c r="V288" s="1743">
        <f>V105+V98+V66</f>
        <v>0</v>
      </c>
      <c r="W288" s="1743">
        <f>W105+W98+W66</f>
        <v>0</v>
      </c>
      <c r="X288" s="1744">
        <f>X105+X98+X66</f>
        <v>0</v>
      </c>
    </row>
    <row r="289" spans="1:24" ht="12.75" customHeight="1" x14ac:dyDescent="0.25">
      <c r="A289" s="3490" t="s">
        <v>302</v>
      </c>
      <c r="B289" s="3303"/>
      <c r="C289" s="3303"/>
      <c r="D289" s="3303"/>
      <c r="E289" s="3303"/>
      <c r="F289" s="3303"/>
      <c r="G289" s="3303"/>
      <c r="H289" s="3491"/>
      <c r="I289" s="1742">
        <f>J289+L289</f>
        <v>300</v>
      </c>
      <c r="J289" s="1743">
        <f>J89</f>
        <v>0</v>
      </c>
      <c r="K289" s="1743">
        <f>K89</f>
        <v>0</v>
      </c>
      <c r="L289" s="1744">
        <f>L89</f>
        <v>300</v>
      </c>
      <c r="M289" s="1742">
        <f>N289+P289</f>
        <v>200</v>
      </c>
      <c r="N289" s="1743">
        <f>N89</f>
        <v>0</v>
      </c>
      <c r="O289" s="1743">
        <f>O89</f>
        <v>0</v>
      </c>
      <c r="P289" s="1744">
        <f>P89</f>
        <v>200</v>
      </c>
      <c r="Q289" s="1742">
        <f>R289+T289</f>
        <v>200</v>
      </c>
      <c r="R289" s="1743">
        <f>R89</f>
        <v>0</v>
      </c>
      <c r="S289" s="1743">
        <f>S89</f>
        <v>0</v>
      </c>
      <c r="T289" s="1744">
        <f>T89</f>
        <v>200</v>
      </c>
      <c r="U289" s="1742">
        <f>V289+X289</f>
        <v>200</v>
      </c>
      <c r="V289" s="1743">
        <f>V89</f>
        <v>0</v>
      </c>
      <c r="W289" s="1743">
        <f>W89</f>
        <v>0</v>
      </c>
      <c r="X289" s="1744">
        <f>X89</f>
        <v>200</v>
      </c>
    </row>
    <row r="290" spans="1:24" ht="12.75" customHeight="1" x14ac:dyDescent="0.25">
      <c r="A290" s="3490" t="s">
        <v>627</v>
      </c>
      <c r="B290" s="3303"/>
      <c r="C290" s="3303"/>
      <c r="D290" s="3303"/>
      <c r="E290" s="3303"/>
      <c r="F290" s="3303"/>
      <c r="G290" s="3303"/>
      <c r="H290" s="3491"/>
      <c r="I290" s="1742">
        <f t="shared" ref="I290:I298" si="272">J290+L290</f>
        <v>0</v>
      </c>
      <c r="J290" s="1743">
        <f>J152+J137</f>
        <v>0</v>
      </c>
      <c r="K290" s="1743">
        <f>K152+K137</f>
        <v>0</v>
      </c>
      <c r="L290" s="1744">
        <f>L152+L137</f>
        <v>0</v>
      </c>
      <c r="M290" s="1742">
        <f t="shared" ref="M290:M297" si="273">N290+P290</f>
        <v>0</v>
      </c>
      <c r="N290" s="1743">
        <f>N152+N137</f>
        <v>0</v>
      </c>
      <c r="O290" s="1743">
        <f>O152+O137</f>
        <v>0</v>
      </c>
      <c r="P290" s="1744">
        <f>P152+P137</f>
        <v>0</v>
      </c>
      <c r="Q290" s="1742">
        <f t="shared" ref="Q290" si="274">R290+T290</f>
        <v>0</v>
      </c>
      <c r="R290" s="1743">
        <f>R152+R137</f>
        <v>0</v>
      </c>
      <c r="S290" s="1743">
        <f>S152+S137</f>
        <v>0</v>
      </c>
      <c r="T290" s="1744">
        <f>T152+T137</f>
        <v>0</v>
      </c>
      <c r="U290" s="1742">
        <f t="shared" ref="U290" si="275">V290+X290</f>
        <v>0</v>
      </c>
      <c r="V290" s="1743">
        <f>V152+V137</f>
        <v>0</v>
      </c>
      <c r="W290" s="1743">
        <f>W152+W137</f>
        <v>0</v>
      </c>
      <c r="X290" s="1744">
        <f>X152+X137</f>
        <v>0</v>
      </c>
    </row>
    <row r="291" spans="1:24" ht="12.75" customHeight="1" x14ac:dyDescent="0.25">
      <c r="A291" s="3490" t="s">
        <v>220</v>
      </c>
      <c r="B291" s="3303"/>
      <c r="C291" s="3303"/>
      <c r="D291" s="3303"/>
      <c r="E291" s="3303"/>
      <c r="F291" s="3303"/>
      <c r="G291" s="3303"/>
      <c r="H291" s="3491"/>
      <c r="I291" s="1742">
        <f t="shared" si="272"/>
        <v>54.4</v>
      </c>
      <c r="J291" s="1743">
        <f>J203+J97+J80+J121</f>
        <v>0</v>
      </c>
      <c r="K291" s="1743">
        <f t="shared" ref="K291:L291" si="276">K203+K97+K80+K121</f>
        <v>0</v>
      </c>
      <c r="L291" s="1743">
        <f t="shared" si="276"/>
        <v>54.4</v>
      </c>
      <c r="M291" s="1742">
        <f t="shared" si="273"/>
        <v>512.29999999999995</v>
      </c>
      <c r="N291" s="1743">
        <f>N203+N97+N80+N121</f>
        <v>0</v>
      </c>
      <c r="O291" s="1743">
        <f t="shared" ref="O291:P291" si="277">O203+O97+O80+O121</f>
        <v>0</v>
      </c>
      <c r="P291" s="1743">
        <f t="shared" si="277"/>
        <v>512.29999999999995</v>
      </c>
      <c r="Q291" s="1742">
        <f>R291+T291</f>
        <v>0</v>
      </c>
      <c r="R291" s="1743">
        <f>R203+R97+R80+R121</f>
        <v>0</v>
      </c>
      <c r="S291" s="1743">
        <f t="shared" ref="S291:T291" si="278">S203+S97+S80+S121</f>
        <v>0</v>
      </c>
      <c r="T291" s="1743">
        <f t="shared" si="278"/>
        <v>0</v>
      </c>
      <c r="U291" s="1742">
        <f>V291+X291</f>
        <v>0</v>
      </c>
      <c r="V291" s="1743">
        <f>V203+V97+V80+V121</f>
        <v>0</v>
      </c>
      <c r="W291" s="1743">
        <f t="shared" ref="W291:X291" si="279">W203+W97+W80+W121</f>
        <v>0</v>
      </c>
      <c r="X291" s="1744">
        <f t="shared" si="279"/>
        <v>0</v>
      </c>
    </row>
    <row r="292" spans="1:24" ht="12.75" customHeight="1" x14ac:dyDescent="0.25">
      <c r="A292" s="3490" t="s">
        <v>219</v>
      </c>
      <c r="B292" s="3303"/>
      <c r="C292" s="3303"/>
      <c r="D292" s="3303"/>
      <c r="E292" s="3303"/>
      <c r="F292" s="3303"/>
      <c r="G292" s="3303"/>
      <c r="H292" s="3491"/>
      <c r="I292" s="1742">
        <f t="shared" si="272"/>
        <v>1063.7</v>
      </c>
      <c r="J292" s="1743">
        <f>J146+J242+J26+J77+J158</f>
        <v>155.30000000000001</v>
      </c>
      <c r="K292" s="1743">
        <f>K146+K242+K26+K77+K158</f>
        <v>0</v>
      </c>
      <c r="L292" s="1744">
        <f>L146+L242+L26+L77+L158</f>
        <v>908.4</v>
      </c>
      <c r="M292" s="1742">
        <f t="shared" si="273"/>
        <v>0</v>
      </c>
      <c r="N292" s="1743">
        <f>N146+N242+N26+N77+N158</f>
        <v>0</v>
      </c>
      <c r="O292" s="1743">
        <f>O146+O242+O26+O77+O158</f>
        <v>0</v>
      </c>
      <c r="P292" s="1744">
        <f>P146+P242+P26+P77+P158</f>
        <v>0</v>
      </c>
      <c r="Q292" s="1742">
        <f>R292+T292</f>
        <v>0</v>
      </c>
      <c r="R292" s="1743">
        <f>R146+R242+R26+R77+R158</f>
        <v>0</v>
      </c>
      <c r="S292" s="1743">
        <f>S146+S242+S26+S77+S158</f>
        <v>0</v>
      </c>
      <c r="T292" s="1744">
        <f>T146+T242+T26+T77+T158</f>
        <v>0</v>
      </c>
      <c r="U292" s="1742">
        <f>V292+X292</f>
        <v>0</v>
      </c>
      <c r="V292" s="1743">
        <f>V146+V242+V26+V77+V158</f>
        <v>0</v>
      </c>
      <c r="W292" s="1743">
        <f>W146+W242+W26+W77+W158</f>
        <v>0</v>
      </c>
      <c r="X292" s="1744">
        <f>X146+X242+X26+X77+X158</f>
        <v>0</v>
      </c>
    </row>
    <row r="293" spans="1:24" ht="12.75" customHeight="1" x14ac:dyDescent="0.25">
      <c r="A293" s="3490" t="s">
        <v>217</v>
      </c>
      <c r="B293" s="3303"/>
      <c r="C293" s="3303"/>
      <c r="D293" s="3303"/>
      <c r="E293" s="3303"/>
      <c r="F293" s="3303"/>
      <c r="G293" s="3303"/>
      <c r="H293" s="3491"/>
      <c r="I293" s="1742">
        <f t="shared" si="272"/>
        <v>520.70000000000005</v>
      </c>
      <c r="J293" s="1743">
        <f>J120+J147+J141+J72+J78</f>
        <v>0</v>
      </c>
      <c r="K293" s="1743">
        <f t="shared" ref="K293:L293" si="280">K120+K147+K141+K72+K78</f>
        <v>0</v>
      </c>
      <c r="L293" s="1743">
        <f t="shared" si="280"/>
        <v>520.70000000000005</v>
      </c>
      <c r="M293" s="1742">
        <f t="shared" si="273"/>
        <v>115</v>
      </c>
      <c r="N293" s="1743">
        <f>N120+N147+N141+N72+N78</f>
        <v>0</v>
      </c>
      <c r="O293" s="1743">
        <f t="shared" ref="O293:P293" si="281">O120+O147+O141+O72+O78</f>
        <v>0</v>
      </c>
      <c r="P293" s="1743">
        <f t="shared" si="281"/>
        <v>115</v>
      </c>
      <c r="Q293" s="1742">
        <f>R293+T293</f>
        <v>0</v>
      </c>
      <c r="R293" s="1743">
        <f>R120+R147+R141+R72+R78</f>
        <v>0</v>
      </c>
      <c r="S293" s="1743">
        <f t="shared" ref="S293:T293" si="282">S120+S147+S141+S72+S78</f>
        <v>0</v>
      </c>
      <c r="T293" s="1743">
        <f t="shared" si="282"/>
        <v>0</v>
      </c>
      <c r="U293" s="1742">
        <f>V293+X293</f>
        <v>0</v>
      </c>
      <c r="V293" s="1743">
        <f>V120+V147+V141+V72+V78</f>
        <v>0</v>
      </c>
      <c r="W293" s="1743">
        <f t="shared" ref="W293:X293" si="283">W120+W147+W141+W72+W78</f>
        <v>0</v>
      </c>
      <c r="X293" s="1744">
        <f t="shared" si="283"/>
        <v>0</v>
      </c>
    </row>
    <row r="294" spans="1:24" s="1559" customFormat="1" ht="11.65" customHeight="1" x14ac:dyDescent="0.2">
      <c r="A294" s="3500" t="s">
        <v>828</v>
      </c>
      <c r="B294" s="3501"/>
      <c r="C294" s="3501"/>
      <c r="D294" s="3501"/>
      <c r="E294" s="3501"/>
      <c r="F294" s="3501"/>
      <c r="G294" s="3501"/>
      <c r="H294" s="3501"/>
      <c r="I294" s="1742">
        <f t="shared" si="272"/>
        <v>162.19999999999999</v>
      </c>
      <c r="J294" s="1743">
        <f>J83</f>
        <v>0</v>
      </c>
      <c r="K294" s="1743">
        <f>K83</f>
        <v>0</v>
      </c>
      <c r="L294" s="1743">
        <f>L83</f>
        <v>162.19999999999999</v>
      </c>
      <c r="M294" s="1742">
        <f t="shared" si="273"/>
        <v>120</v>
      </c>
      <c r="N294" s="1743">
        <f>N83</f>
        <v>100</v>
      </c>
      <c r="O294" s="1743">
        <f>O83</f>
        <v>0</v>
      </c>
      <c r="P294" s="1743">
        <f>P83</f>
        <v>20</v>
      </c>
      <c r="Q294" s="1742"/>
      <c r="R294" s="1743">
        <f>R83</f>
        <v>0</v>
      </c>
      <c r="S294" s="1743">
        <f>S83</f>
        <v>0</v>
      </c>
      <c r="T294" s="1743">
        <f>T83</f>
        <v>0</v>
      </c>
      <c r="U294" s="1742"/>
      <c r="V294" s="1743">
        <f>V83</f>
        <v>0</v>
      </c>
      <c r="W294" s="1743">
        <f>W83</f>
        <v>0</v>
      </c>
      <c r="X294" s="1744">
        <f>X83</f>
        <v>0</v>
      </c>
    </row>
    <row r="295" spans="1:24" s="1559" customFormat="1" ht="11.65" customHeight="1" x14ac:dyDescent="0.2">
      <c r="A295" s="3502" t="s">
        <v>423</v>
      </c>
      <c r="B295" s="3503"/>
      <c r="C295" s="3503"/>
      <c r="D295" s="3503"/>
      <c r="E295" s="3503"/>
      <c r="F295" s="3503"/>
      <c r="G295" s="3503"/>
      <c r="H295" s="2143"/>
      <c r="I295" s="1742"/>
      <c r="J295" s="1743"/>
      <c r="K295" s="1743"/>
      <c r="L295" s="1745"/>
      <c r="M295" s="1742">
        <f t="shared" si="273"/>
        <v>500</v>
      </c>
      <c r="N295" s="1743"/>
      <c r="O295" s="1743"/>
      <c r="P295" s="1745">
        <f>P84</f>
        <v>500</v>
      </c>
      <c r="Q295" s="1742"/>
      <c r="R295" s="1743"/>
      <c r="S295" s="1743"/>
      <c r="T295" s="1745"/>
      <c r="U295" s="1742"/>
      <c r="V295" s="1743"/>
      <c r="W295" s="1743"/>
      <c r="X295" s="1744"/>
    </row>
    <row r="296" spans="1:24" ht="12.75" customHeight="1" x14ac:dyDescent="0.25">
      <c r="A296" s="3490" t="s">
        <v>829</v>
      </c>
      <c r="B296" s="3303"/>
      <c r="C296" s="3303"/>
      <c r="D296" s="3303"/>
      <c r="E296" s="3303"/>
      <c r="F296" s="3303"/>
      <c r="G296" s="3303"/>
      <c r="H296" s="3491"/>
      <c r="I296" s="1742">
        <f t="shared" si="272"/>
        <v>5.7</v>
      </c>
      <c r="J296" s="1743">
        <f>J273</f>
        <v>0</v>
      </c>
      <c r="K296" s="1743">
        <f t="shared" ref="K296:L296" si="284">K273</f>
        <v>0</v>
      </c>
      <c r="L296" s="1744">
        <f t="shared" si="284"/>
        <v>5.7</v>
      </c>
      <c r="M296" s="1742">
        <f t="shared" si="273"/>
        <v>5</v>
      </c>
      <c r="N296" s="1743">
        <f>N273</f>
        <v>5</v>
      </c>
      <c r="O296" s="1743">
        <f t="shared" ref="O296:P296" si="285">O273</f>
        <v>0</v>
      </c>
      <c r="P296" s="1744">
        <f t="shared" si="285"/>
        <v>0</v>
      </c>
      <c r="Q296" s="1742">
        <f>R296+T296</f>
        <v>0</v>
      </c>
      <c r="R296" s="1743">
        <f>R273</f>
        <v>0</v>
      </c>
      <c r="S296" s="1743">
        <f t="shared" ref="S296:T296" si="286">S273</f>
        <v>0</v>
      </c>
      <c r="T296" s="1744">
        <f t="shared" si="286"/>
        <v>0</v>
      </c>
      <c r="U296" s="1742">
        <f>V296+X296</f>
        <v>0</v>
      </c>
      <c r="V296" s="1743">
        <f t="shared" ref="V296:X297" si="287">SUM(V273)</f>
        <v>0</v>
      </c>
      <c r="W296" s="1743">
        <f t="shared" si="287"/>
        <v>0</v>
      </c>
      <c r="X296" s="1744">
        <f t="shared" si="287"/>
        <v>0</v>
      </c>
    </row>
    <row r="297" spans="1:24" ht="12.75" customHeight="1" thickBot="1" x14ac:dyDescent="0.3">
      <c r="A297" s="3495" t="s">
        <v>830</v>
      </c>
      <c r="B297" s="3387"/>
      <c r="C297" s="3387"/>
      <c r="D297" s="3387"/>
      <c r="E297" s="3387"/>
      <c r="F297" s="3387"/>
      <c r="G297" s="3387"/>
      <c r="H297" s="3496"/>
      <c r="I297" s="1746">
        <f t="shared" si="272"/>
        <v>0</v>
      </c>
      <c r="J297" s="1747">
        <f>SUM(J274)</f>
        <v>0</v>
      </c>
      <c r="K297" s="1747">
        <f t="shared" ref="K297:L297" si="288">SUM(K274)</f>
        <v>0</v>
      </c>
      <c r="L297" s="1747">
        <f t="shared" si="288"/>
        <v>0</v>
      </c>
      <c r="M297" s="1746">
        <f t="shared" si="273"/>
        <v>0.6</v>
      </c>
      <c r="N297" s="1747">
        <f>SUM(N274)</f>
        <v>0.6</v>
      </c>
      <c r="O297" s="1747">
        <f t="shared" ref="O297:P297" si="289">SUM(O274)</f>
        <v>0</v>
      </c>
      <c r="P297" s="1747">
        <f t="shared" si="289"/>
        <v>0</v>
      </c>
      <c r="Q297" s="1746">
        <f>R297+T297</f>
        <v>0</v>
      </c>
      <c r="R297" s="1747">
        <f>SUM(R274)</f>
        <v>0</v>
      </c>
      <c r="S297" s="1747">
        <f t="shared" ref="S297:T297" si="290">SUM(S274)</f>
        <v>0</v>
      </c>
      <c r="T297" s="1747">
        <f t="shared" si="290"/>
        <v>0</v>
      </c>
      <c r="U297" s="1746">
        <f>V297+X297</f>
        <v>0</v>
      </c>
      <c r="V297" s="1747">
        <f t="shared" si="287"/>
        <v>0</v>
      </c>
      <c r="W297" s="1747">
        <f t="shared" si="287"/>
        <v>0</v>
      </c>
      <c r="X297" s="1943">
        <f t="shared" si="287"/>
        <v>0</v>
      </c>
    </row>
    <row r="298" spans="1:24" ht="13.5" customHeight="1" thickBot="1" x14ac:dyDescent="0.3">
      <c r="A298" s="3497" t="s">
        <v>222</v>
      </c>
      <c r="B298" s="3498"/>
      <c r="C298" s="3498"/>
      <c r="D298" s="3498"/>
      <c r="E298" s="3498"/>
      <c r="F298" s="3498"/>
      <c r="G298" s="3498"/>
      <c r="H298" s="3499"/>
      <c r="I298" s="1746">
        <f t="shared" si="272"/>
        <v>9556.2799999999988</v>
      </c>
      <c r="J298" s="1747">
        <f>SUM(J284:J297)</f>
        <v>2592.4800000000005</v>
      </c>
      <c r="K298" s="1747">
        <f t="shared" ref="K298:L298" si="291">SUM(K284:K297)</f>
        <v>0</v>
      </c>
      <c r="L298" s="1747">
        <f t="shared" si="291"/>
        <v>6963.7999999999993</v>
      </c>
      <c r="M298" s="1746">
        <f t="shared" si="221"/>
        <v>13448.332</v>
      </c>
      <c r="N298" s="1747">
        <f>SUM(N284:N297)</f>
        <v>2583.2000000000003</v>
      </c>
      <c r="O298" s="1747">
        <f t="shared" ref="O298:P298" si="292">SUM(O284:O297)</f>
        <v>9.2999999999999989</v>
      </c>
      <c r="P298" s="1747">
        <f t="shared" si="292"/>
        <v>10865.132</v>
      </c>
      <c r="Q298" s="1746">
        <f t="shared" ref="Q298" si="293">R298+T298</f>
        <v>11290.7</v>
      </c>
      <c r="R298" s="1747">
        <f>SUM(R284:R297)</f>
        <v>2274.4</v>
      </c>
      <c r="S298" s="1747">
        <f t="shared" ref="S298:T298" si="294">SUM(S284:S297)</f>
        <v>6.8</v>
      </c>
      <c r="T298" s="1747">
        <f t="shared" si="294"/>
        <v>9016.3000000000011</v>
      </c>
      <c r="U298" s="1746">
        <f t="shared" ref="U298" si="295">V298+X298</f>
        <v>9842.5</v>
      </c>
      <c r="V298" s="1747">
        <f>SUM(V284:V297)</f>
        <v>2267.5</v>
      </c>
      <c r="W298" s="1747">
        <f t="shared" ref="W298:X298" si="296">SUM(W284:W297)</f>
        <v>0</v>
      </c>
      <c r="X298" s="1943">
        <f t="shared" si="296"/>
        <v>7575</v>
      </c>
    </row>
    <row r="299" spans="1:24" s="1752" customFormat="1" ht="12.75" x14ac:dyDescent="0.2">
      <c r="A299" s="2041"/>
      <c r="B299" s="2041"/>
      <c r="C299" s="2041"/>
      <c r="D299" s="1748"/>
      <c r="E299" s="2041"/>
      <c r="F299" s="1749"/>
      <c r="G299" s="1749"/>
      <c r="H299" s="1750"/>
      <c r="I299" s="1751"/>
      <c r="J299" s="1724"/>
      <c r="K299" s="1724"/>
      <c r="L299" s="1724"/>
      <c r="M299" s="1724"/>
      <c r="N299" s="1724"/>
      <c r="O299" s="1724"/>
      <c r="P299" s="1724"/>
      <c r="Q299" s="1751"/>
      <c r="R299" s="1724"/>
      <c r="S299" s="1724"/>
      <c r="T299" s="1724"/>
      <c r="U299" s="1644"/>
      <c r="V299" s="1644"/>
      <c r="W299" s="1644"/>
      <c r="X299" s="1644"/>
    </row>
    <row r="300" spans="1:24" hidden="1" x14ac:dyDescent="0.25">
      <c r="A300" s="2041"/>
      <c r="B300" s="2041"/>
      <c r="C300" s="2041"/>
      <c r="D300" s="1748" t="s">
        <v>831</v>
      </c>
      <c r="E300" s="2041"/>
      <c r="F300" s="1749"/>
      <c r="H300" s="1750"/>
      <c r="I300" s="1751">
        <f>I283-I298</f>
        <v>0</v>
      </c>
      <c r="J300" s="1724">
        <f>J283-J298</f>
        <v>0</v>
      </c>
      <c r="K300" s="1724"/>
      <c r="L300" s="1724">
        <f>L283-L298</f>
        <v>0</v>
      </c>
      <c r="M300" s="1724"/>
      <c r="N300" s="1724"/>
      <c r="O300" s="1724"/>
      <c r="P300" s="1724"/>
      <c r="Q300" s="1751">
        <f>Q283-Q298</f>
        <v>0</v>
      </c>
      <c r="R300" s="1724">
        <f>R283-R298</f>
        <v>0</v>
      </c>
      <c r="S300" s="1724"/>
      <c r="T300" s="1724">
        <f>T283-T298</f>
        <v>0</v>
      </c>
      <c r="U300" s="1644"/>
      <c r="V300" s="1644"/>
      <c r="W300" s="1644"/>
      <c r="X300" s="1644"/>
    </row>
    <row r="301" spans="1:24" hidden="1" x14ac:dyDescent="0.25">
      <c r="A301" s="2041"/>
      <c r="B301" s="2041"/>
      <c r="C301" s="2041"/>
      <c r="D301" s="1748" t="s">
        <v>832</v>
      </c>
      <c r="E301" s="2041"/>
      <c r="F301" s="1749"/>
      <c r="H301" s="1750"/>
      <c r="I301" s="1751"/>
      <c r="J301" s="1724"/>
      <c r="K301" s="1724"/>
      <c r="L301" s="1724"/>
      <c r="M301" s="1724"/>
      <c r="N301" s="1724"/>
      <c r="O301" s="1724"/>
      <c r="P301" s="1724"/>
      <c r="Q301" s="1751"/>
      <c r="R301" s="1724"/>
      <c r="S301" s="1724"/>
      <c r="T301" s="1724"/>
      <c r="U301" s="1644"/>
      <c r="V301" s="1644"/>
      <c r="W301" s="1644"/>
      <c r="X301" s="1644"/>
    </row>
    <row r="302" spans="1:24" ht="12.75" hidden="1" customHeight="1" x14ac:dyDescent="0.25">
      <c r="A302" s="3494" t="s">
        <v>833</v>
      </c>
      <c r="B302" s="3494"/>
      <c r="C302" s="3494"/>
      <c r="D302" s="3494"/>
      <c r="E302" s="3494"/>
      <c r="F302" s="3494"/>
      <c r="G302" s="3494"/>
      <c r="H302" s="3494"/>
      <c r="I302" s="1560" t="e">
        <f>I12+I15+I18+I21+I24+I28+I31+I34+I37+I40+I43+#REF!+#REF!+I57+#REF!+#REF!+#REF!+I70+#REF!+I74+#REF!+I76+#REF!+#REF!+#REF!+#REF!+#REF!+#REF!+#REF!+I82+#REF!+#REF!+#REF!+#REF!+I171+#REF!+#REF!+#REF!+#REF!+I184+I186+I192+I241+I245+I247+I87</f>
        <v>#REF!</v>
      </c>
      <c r="J302" s="1560" t="e">
        <f>J12+J15+J18+J21+J24+J28+J31+J34+J37+J40+J43+#REF!+#REF!+J57+#REF!+#REF!+#REF!+J70+#REF!+J74+#REF!+J76+#REF!+#REF!+#REF!+#REF!+#REF!+#REF!+#REF!+J82+#REF!+#REF!+#REF!+#REF!+J171+#REF!+#REF!+#REF!+#REF!+J184+J186+J192+J241+J245+J247+J87</f>
        <v>#REF!</v>
      </c>
      <c r="K302" s="1560" t="e">
        <f>K12+K15+K18+K21+K24+K28+K31+K34+K37+K40+K43+#REF!+#REF!+K57+#REF!+#REF!+#REF!+K70+#REF!+K74+#REF!+K76+#REF!+#REF!+#REF!+#REF!+#REF!+#REF!+#REF!+K82+#REF!+#REF!+#REF!+#REF!+K171+#REF!+#REF!+#REF!+#REF!+K184+K186+K192+K241+K245+K247+K87</f>
        <v>#REF!</v>
      </c>
      <c r="L302" s="1560" t="e">
        <f>L12+L15+L18+L21+L24+L28+L31+L34+L37+L40+L43+#REF!+#REF!+L57+#REF!+#REF!+#REF!+L70+#REF!+L74+#REF!+L76+#REF!+#REF!+#REF!+#REF!+#REF!+#REF!+#REF!+L82+#REF!+#REF!+#REF!+#REF!+L171+#REF!+#REF!+#REF!+#REF!+L184+L186+L192+L241+L245+L247+L87</f>
        <v>#REF!</v>
      </c>
      <c r="M302" s="1560"/>
      <c r="N302" s="1560"/>
      <c r="O302" s="1560"/>
      <c r="P302" s="1560"/>
      <c r="Q302" s="1560" t="e">
        <f>Q12+Q15+Q18+Q21+Q24+Q28+Q31+Q34+Q37+Q40+Q43+#REF!+#REF!+Q57+#REF!+#REF!+#REF!+Q70+#REF!+Q74+#REF!+Q76+#REF!+#REF!+#REF!+#REF!+#REF!+#REF!+#REF!+Q82+#REF!+#REF!+#REF!+#REF!+Q171+#REF!+#REF!+#REF!+#REF!+Q184+Q186+Q192+Q241+Q245+Q247+Q87</f>
        <v>#REF!</v>
      </c>
      <c r="R302" s="1560" t="e">
        <f>R12+R15+R18+R21+R24+R28+R31+R34+R37+R40+R43+#REF!+#REF!+R57+#REF!+#REF!+#REF!+R70+#REF!+R74+#REF!+R76+#REF!+#REF!+#REF!+#REF!+#REF!+#REF!+#REF!+R82+#REF!+#REF!+#REF!+#REF!+R171+#REF!+#REF!+#REF!+#REF!+R184+R186+R192+R241+R245+R247+R87</f>
        <v>#REF!</v>
      </c>
      <c r="S302" s="1560" t="e">
        <f>S12+S15+S18+S21+S24+S28+S31+S34+S37+S40+S43+#REF!+#REF!+S57+#REF!+#REF!+#REF!+S70+#REF!+S74+#REF!+S76+#REF!+#REF!+#REF!+#REF!+#REF!+#REF!+#REF!+S82+#REF!+#REF!+#REF!+#REF!+S171+#REF!+#REF!+#REF!+#REF!+S184+S186+S192+S241+S245+S247+S87</f>
        <v>#REF!</v>
      </c>
      <c r="T302" s="1560" t="e">
        <f>T12+T15+T18+T21+T24+T28+T31+T34+T37+T40+T43+#REF!+#REF!+T57+#REF!+#REF!+#REF!+T70+#REF!+T74+#REF!+T76+#REF!+#REF!+#REF!+#REF!+#REF!+#REF!+#REF!+T82+#REF!+#REF!+#REF!+#REF!+T171+#REF!+#REF!+#REF!+#REF!+T184+T186+T192+T241+T245+T247+T87</f>
        <v>#REF!</v>
      </c>
      <c r="U302" s="1753"/>
      <c r="V302" s="1753"/>
      <c r="W302" s="1753"/>
      <c r="X302" s="1753"/>
    </row>
    <row r="303" spans="1:24" ht="12.75" hidden="1" customHeight="1" x14ac:dyDescent="0.25">
      <c r="A303" s="3494" t="s">
        <v>834</v>
      </c>
      <c r="B303" s="3494"/>
      <c r="C303" s="3494"/>
      <c r="D303" s="3494"/>
      <c r="E303" s="3494"/>
      <c r="F303" s="3494"/>
      <c r="G303" s="3494"/>
      <c r="H303" s="3494"/>
      <c r="I303" s="1560" t="e">
        <f>#REF!+#REF!+#REF!+#REF!+#REF!+I198+#REF!+#REF!+#REF!+#REF!+#REF!+#REF!+#REF!+#REF!+#REF!+#REF!+#REF!+#REF!+I211+I213+I215+I217+I219+I221+I223+I225+I227+I229+I231+I237+I261+#REF!+#REF!+I262+#REF!</f>
        <v>#REF!</v>
      </c>
      <c r="J303" s="1560" t="e">
        <f>#REF!+#REF!+#REF!+#REF!+#REF!+J198+#REF!+#REF!+#REF!+#REF!+#REF!+#REF!+#REF!+#REF!+#REF!+#REF!+#REF!+#REF!+J211+J213+J215+J217+J219+J221+J223+J225+J227+J229+J231+J237+J261+#REF!+#REF!+J262+#REF!</f>
        <v>#REF!</v>
      </c>
      <c r="K303" s="1560" t="e">
        <f>#REF!+#REF!+#REF!+#REF!+#REF!+K198+#REF!+#REF!+#REF!+#REF!+#REF!+#REF!+#REF!+#REF!+#REF!+#REF!+#REF!+#REF!+K211+K213+K215+K217+K219+K221+K223+K225+K227+K229+K231+K237+K261+#REF!+#REF!+K262+#REF!</f>
        <v>#REF!</v>
      </c>
      <c r="L303" s="1560" t="e">
        <f>#REF!+#REF!+#REF!+#REF!+#REF!+L198+#REF!+#REF!+#REF!+#REF!+#REF!+#REF!+#REF!+#REF!+#REF!+#REF!+#REF!+#REF!+L211+L213+L215+L217+L219+L221+L223+L225+L227+L229+L231+L237+L261+#REF!+#REF!+L262+#REF!</f>
        <v>#REF!</v>
      </c>
      <c r="M303" s="1560"/>
      <c r="N303" s="1560"/>
      <c r="O303" s="1560"/>
      <c r="P303" s="1560"/>
      <c r="Q303" s="1560" t="e">
        <f>#REF!+#REF!+#REF!+#REF!+#REF!+Q198+#REF!+#REF!+#REF!+#REF!+#REF!+#REF!+#REF!+#REF!+#REF!+#REF!+#REF!+#REF!+Q211+Q213+Q215+Q217+Q219+Q221+Q223+Q225+Q227+Q229+Q231+Q237+Q261+#REF!+#REF!+Q262+#REF!</f>
        <v>#REF!</v>
      </c>
      <c r="R303" s="1560" t="e">
        <f>#REF!+#REF!+#REF!+#REF!+#REF!+R198+#REF!+#REF!+#REF!+#REF!+#REF!+#REF!+#REF!+#REF!+#REF!+#REF!+#REF!+#REF!+R211+R213+R215+R217+R219+R221+R223+R225+R227+R229+R231+R237+R261+#REF!+#REF!+R262+#REF!</f>
        <v>#REF!</v>
      </c>
      <c r="S303" s="1560" t="e">
        <f>#REF!+#REF!+#REF!+#REF!+#REF!+S198+#REF!+#REF!+#REF!+#REF!+#REF!+#REF!+#REF!+#REF!+#REF!+#REF!+#REF!+#REF!+S211+S213+S215+S217+S219+S221+S223+S225+S227+S229+S231+S237+S261+#REF!+#REF!+S262+#REF!</f>
        <v>#REF!</v>
      </c>
      <c r="T303" s="1560" t="e">
        <f>#REF!+#REF!+#REF!+#REF!+#REF!+T198+#REF!+#REF!+#REF!+#REF!+#REF!+#REF!+#REF!+#REF!+#REF!+#REF!+#REF!+#REF!+T211+T213+T215+T217+T219+T221+T223+T225+T227+T229+T231+T237+T261+#REF!+#REF!+T262+#REF!</f>
        <v>#REF!</v>
      </c>
      <c r="U303" s="1753"/>
      <c r="V303" s="1753"/>
      <c r="W303" s="1753"/>
      <c r="X303" s="1753"/>
    </row>
    <row r="304" spans="1:24" ht="12.75" hidden="1" customHeight="1" x14ac:dyDescent="0.25">
      <c r="A304" s="3494" t="s">
        <v>835</v>
      </c>
      <c r="B304" s="3494"/>
      <c r="C304" s="3494"/>
      <c r="D304" s="3494"/>
      <c r="E304" s="3494"/>
      <c r="F304" s="3494"/>
      <c r="G304" s="3494"/>
      <c r="H304" s="3494"/>
      <c r="I304" s="1560" t="e">
        <f>#REF!</f>
        <v>#REF!</v>
      </c>
      <c r="J304" s="1560" t="e">
        <f>#REF!</f>
        <v>#REF!</v>
      </c>
      <c r="K304" s="1560" t="e">
        <f>#REF!</f>
        <v>#REF!</v>
      </c>
      <c r="L304" s="1560" t="e">
        <f>#REF!</f>
        <v>#REF!</v>
      </c>
      <c r="M304" s="1560"/>
      <c r="N304" s="1560"/>
      <c r="O304" s="1560"/>
      <c r="P304" s="1560"/>
      <c r="Q304" s="1560" t="e">
        <f>#REF!</f>
        <v>#REF!</v>
      </c>
      <c r="R304" s="1560" t="e">
        <f>#REF!</f>
        <v>#REF!</v>
      </c>
      <c r="S304" s="1560" t="e">
        <f>#REF!</f>
        <v>#REF!</v>
      </c>
      <c r="T304" s="1560" t="e">
        <f>#REF!</f>
        <v>#REF!</v>
      </c>
      <c r="U304" s="1753"/>
      <c r="V304" s="1753"/>
      <c r="W304" s="1753"/>
      <c r="X304" s="1753"/>
    </row>
    <row r="305" spans="1:71" ht="12.75" hidden="1" customHeight="1" x14ac:dyDescent="0.25">
      <c r="A305" s="3494" t="s">
        <v>836</v>
      </c>
      <c r="B305" s="3494"/>
      <c r="C305" s="3494"/>
      <c r="D305" s="3494"/>
      <c r="E305" s="3494"/>
      <c r="F305" s="3494"/>
      <c r="G305" s="3494"/>
      <c r="H305" s="3494"/>
      <c r="I305" s="1560" t="e">
        <f>#REF!</f>
        <v>#REF!</v>
      </c>
      <c r="J305" s="1560" t="e">
        <f>#REF!</f>
        <v>#REF!</v>
      </c>
      <c r="K305" s="1560" t="e">
        <f>#REF!</f>
        <v>#REF!</v>
      </c>
      <c r="L305" s="1560" t="e">
        <f>#REF!</f>
        <v>#REF!</v>
      </c>
      <c r="M305" s="1560"/>
      <c r="N305" s="1560"/>
      <c r="O305" s="1560"/>
      <c r="P305" s="1560"/>
      <c r="Q305" s="1560" t="e">
        <f>#REF!</f>
        <v>#REF!</v>
      </c>
      <c r="R305" s="1560" t="e">
        <f>#REF!</f>
        <v>#REF!</v>
      </c>
      <c r="S305" s="1560" t="e">
        <f>#REF!</f>
        <v>#REF!</v>
      </c>
      <c r="T305" s="1560" t="e">
        <f>#REF!</f>
        <v>#REF!</v>
      </c>
      <c r="U305" s="1753"/>
      <c r="V305" s="1753"/>
      <c r="W305" s="1753"/>
      <c r="X305" s="1753"/>
    </row>
    <row r="306" spans="1:71" s="2047" customFormat="1" ht="12.75" hidden="1" customHeight="1" x14ac:dyDescent="0.25">
      <c r="A306" s="3494" t="s">
        <v>837</v>
      </c>
      <c r="B306" s="3494"/>
      <c r="C306" s="3494"/>
      <c r="D306" s="3494"/>
      <c r="E306" s="3494"/>
      <c r="F306" s="3494"/>
      <c r="G306" s="3494"/>
      <c r="H306" s="3494"/>
      <c r="I306" s="1560" t="e">
        <f>#REF!</f>
        <v>#REF!</v>
      </c>
      <c r="J306" s="1560" t="e">
        <f>#REF!</f>
        <v>#REF!</v>
      </c>
      <c r="K306" s="1560" t="e">
        <f>#REF!</f>
        <v>#REF!</v>
      </c>
      <c r="L306" s="1560" t="e">
        <f>#REF!</f>
        <v>#REF!</v>
      </c>
      <c r="M306" s="1560"/>
      <c r="N306" s="1560"/>
      <c r="O306" s="1560"/>
      <c r="P306" s="1560"/>
      <c r="Q306" s="1560" t="e">
        <f>#REF!</f>
        <v>#REF!</v>
      </c>
      <c r="R306" s="1560" t="e">
        <f>#REF!</f>
        <v>#REF!</v>
      </c>
      <c r="S306" s="1560" t="e">
        <f>#REF!</f>
        <v>#REF!</v>
      </c>
      <c r="T306" s="1560" t="e">
        <f>#REF!</f>
        <v>#REF!</v>
      </c>
      <c r="U306" s="1753"/>
      <c r="V306" s="1753"/>
      <c r="W306" s="1753"/>
      <c r="X306" s="1753"/>
      <c r="Y306" s="2046"/>
      <c r="Z306" s="2046"/>
      <c r="AA306" s="2046"/>
      <c r="AB306" s="2046"/>
      <c r="AC306" s="2046"/>
      <c r="AD306" s="2046"/>
      <c r="AE306" s="2046"/>
      <c r="AF306" s="2046"/>
      <c r="AG306" s="2046"/>
      <c r="AH306" s="2046"/>
      <c r="AI306" s="2046"/>
      <c r="AJ306" s="2046"/>
      <c r="AK306" s="2046"/>
      <c r="AL306" s="2046"/>
      <c r="AM306" s="2046"/>
      <c r="AN306" s="2046"/>
      <c r="AO306" s="2046"/>
      <c r="AP306" s="2046"/>
      <c r="AQ306" s="2046"/>
      <c r="AR306" s="2046"/>
      <c r="AS306" s="2046"/>
      <c r="AT306" s="2046"/>
      <c r="AU306" s="2046"/>
      <c r="AV306" s="2046"/>
      <c r="AW306" s="2046"/>
      <c r="AX306" s="2046"/>
      <c r="AY306" s="2046"/>
      <c r="AZ306" s="2046"/>
      <c r="BA306" s="2046"/>
      <c r="BB306" s="2046"/>
      <c r="BC306" s="2046"/>
      <c r="BD306" s="2046"/>
      <c r="BE306" s="2046"/>
      <c r="BF306" s="2046"/>
      <c r="BG306" s="2046"/>
      <c r="BH306" s="2046"/>
      <c r="BI306" s="2046"/>
      <c r="BJ306" s="2046"/>
      <c r="BK306" s="2046"/>
      <c r="BL306" s="2046"/>
      <c r="BM306" s="2046"/>
      <c r="BN306" s="2046"/>
      <c r="BO306" s="2046"/>
      <c r="BP306" s="2046"/>
      <c r="BQ306" s="2046"/>
      <c r="BR306" s="2046"/>
      <c r="BS306" s="2046"/>
    </row>
    <row r="307" spans="1:71" s="2047" customFormat="1" hidden="1" x14ac:dyDescent="0.25">
      <c r="A307" s="1754"/>
      <c r="B307" s="1754"/>
      <c r="C307" s="1754"/>
      <c r="D307" s="1755" t="s">
        <v>838</v>
      </c>
      <c r="E307" s="1754"/>
      <c r="F307" s="1755"/>
      <c r="G307" s="1749"/>
      <c r="H307" s="1755"/>
      <c r="I307" s="1560"/>
      <c r="J307" s="1561"/>
      <c r="K307" s="1561"/>
      <c r="L307" s="1561"/>
      <c r="M307" s="1561"/>
      <c r="N307" s="1561"/>
      <c r="O307" s="1561"/>
      <c r="P307" s="1561"/>
      <c r="Q307" s="1560"/>
      <c r="R307" s="1561"/>
      <c r="S307" s="1561"/>
      <c r="T307" s="1561"/>
      <c r="U307" s="1756"/>
      <c r="V307" s="1756"/>
      <c r="W307" s="1756"/>
      <c r="X307" s="1756"/>
      <c r="Y307" s="2046"/>
      <c r="Z307" s="2046"/>
      <c r="AA307" s="2046"/>
      <c r="AB307" s="2046"/>
      <c r="AC307" s="2046"/>
      <c r="AD307" s="2046"/>
      <c r="AE307" s="2046"/>
      <c r="AF307" s="2046"/>
      <c r="AG307" s="2046"/>
      <c r="AH307" s="2046"/>
      <c r="AI307" s="2046"/>
      <c r="AJ307" s="2046"/>
      <c r="AK307" s="2046"/>
      <c r="AL307" s="2046"/>
      <c r="AM307" s="2046"/>
      <c r="AN307" s="2046"/>
      <c r="AO307" s="2046"/>
      <c r="AP307" s="2046"/>
      <c r="AQ307" s="2046"/>
      <c r="AR307" s="2046"/>
      <c r="AS307" s="2046"/>
      <c r="AT307" s="2046"/>
      <c r="AU307" s="2046"/>
      <c r="AV307" s="2046"/>
      <c r="AW307" s="2046"/>
      <c r="AX307" s="2046"/>
      <c r="AY307" s="2046"/>
      <c r="AZ307" s="2046"/>
      <c r="BA307" s="2046"/>
      <c r="BB307" s="2046"/>
      <c r="BC307" s="2046"/>
      <c r="BD307" s="2046"/>
      <c r="BE307" s="2046"/>
      <c r="BF307" s="2046"/>
      <c r="BG307" s="2046"/>
      <c r="BH307" s="2046"/>
      <c r="BI307" s="2046"/>
      <c r="BJ307" s="2046"/>
      <c r="BK307" s="2046"/>
      <c r="BL307" s="2046"/>
      <c r="BM307" s="2046"/>
      <c r="BN307" s="2046"/>
      <c r="BO307" s="2046"/>
      <c r="BP307" s="2046"/>
      <c r="BQ307" s="2046"/>
      <c r="BR307" s="2046"/>
      <c r="BS307" s="2046"/>
    </row>
    <row r="308" spans="1:71" s="2047" customFormat="1" hidden="1" x14ac:dyDescent="0.25">
      <c r="A308" s="1754"/>
      <c r="B308" s="1754"/>
      <c r="C308" s="1754"/>
      <c r="D308" s="1755" t="s">
        <v>839</v>
      </c>
      <c r="E308" s="1754"/>
      <c r="F308" s="1755"/>
      <c r="G308" s="1749"/>
      <c r="H308" s="1755"/>
      <c r="I308" s="1560"/>
      <c r="J308" s="1561"/>
      <c r="K308" s="1561"/>
      <c r="L308" s="1561"/>
      <c r="M308" s="1561"/>
      <c r="N308" s="1561"/>
      <c r="O308" s="1561"/>
      <c r="P308" s="1561"/>
      <c r="Q308" s="1560"/>
      <c r="R308" s="1561"/>
      <c r="S308" s="1561"/>
      <c r="T308" s="1561"/>
      <c r="U308" s="1756"/>
      <c r="V308" s="1756"/>
      <c r="W308" s="1756"/>
      <c r="X308" s="1756"/>
      <c r="Y308" s="2046"/>
      <c r="Z308" s="2046"/>
      <c r="AA308" s="2046"/>
      <c r="AB308" s="2046"/>
      <c r="AC308" s="2046"/>
      <c r="AD308" s="2046"/>
      <c r="AE308" s="2046"/>
      <c r="AF308" s="2046"/>
      <c r="AG308" s="2046"/>
      <c r="AH308" s="2046"/>
      <c r="AI308" s="2046"/>
      <c r="AJ308" s="2046"/>
      <c r="AK308" s="2046"/>
      <c r="AL308" s="2046"/>
      <c r="AM308" s="2046"/>
      <c r="AN308" s="2046"/>
      <c r="AO308" s="2046"/>
      <c r="AP308" s="2046"/>
      <c r="AQ308" s="2046"/>
      <c r="AR308" s="2046"/>
      <c r="AS308" s="2046"/>
      <c r="AT308" s="2046"/>
      <c r="AU308" s="2046"/>
      <c r="AV308" s="2046"/>
      <c r="AW308" s="2046"/>
      <c r="AX308" s="2046"/>
      <c r="AY308" s="2046"/>
      <c r="AZ308" s="2046"/>
      <c r="BA308" s="2046"/>
      <c r="BB308" s="2046"/>
      <c r="BC308" s="2046"/>
      <c r="BD308" s="2046"/>
      <c r="BE308" s="2046"/>
      <c r="BF308" s="2046"/>
      <c r="BG308" s="2046"/>
      <c r="BH308" s="2046"/>
      <c r="BI308" s="2046"/>
      <c r="BJ308" s="2046"/>
      <c r="BK308" s="2046"/>
      <c r="BL308" s="2046"/>
      <c r="BM308" s="2046"/>
      <c r="BN308" s="2046"/>
      <c r="BO308" s="2046"/>
      <c r="BP308" s="2046"/>
      <c r="BQ308" s="2046"/>
      <c r="BR308" s="2046"/>
      <c r="BS308" s="2046"/>
    </row>
    <row r="309" spans="1:71" s="2047" customFormat="1" x14ac:dyDescent="0.25">
      <c r="A309" s="1754"/>
      <c r="B309" s="1754"/>
      <c r="C309" s="1754"/>
      <c r="D309" s="1755"/>
      <c r="E309" s="1754"/>
      <c r="F309" s="1755"/>
      <c r="G309" s="1749"/>
      <c r="H309" s="1755"/>
      <c r="I309" s="1560">
        <f>I298-I283</f>
        <v>0</v>
      </c>
      <c r="J309" s="1560">
        <f>J298-J283</f>
        <v>0</v>
      </c>
      <c r="K309" s="1561"/>
      <c r="L309" s="1560">
        <f>L298-L283</f>
        <v>0</v>
      </c>
      <c r="M309" s="1560">
        <f t="shared" ref="M309:P309" si="297">M298-M283</f>
        <v>0</v>
      </c>
      <c r="N309" s="1560">
        <f t="shared" si="297"/>
        <v>0</v>
      </c>
      <c r="O309" s="1560">
        <f t="shared" si="297"/>
        <v>0</v>
      </c>
      <c r="P309" s="1560">
        <f t="shared" si="297"/>
        <v>0</v>
      </c>
      <c r="Q309" s="1560">
        <f>Q298-Q283</f>
        <v>0</v>
      </c>
      <c r="R309" s="1560">
        <f>R298-R283</f>
        <v>0</v>
      </c>
      <c r="S309" s="1561"/>
      <c r="T309" s="1560">
        <f>T298-T283</f>
        <v>0</v>
      </c>
      <c r="U309" s="1753"/>
      <c r="V309" s="1753"/>
      <c r="W309" s="1753"/>
      <c r="X309" s="1753"/>
      <c r="Y309" s="2046"/>
      <c r="Z309" s="2046"/>
      <c r="AA309" s="2046"/>
      <c r="AB309" s="2046"/>
      <c r="AC309" s="2046"/>
      <c r="AD309" s="2046"/>
      <c r="AE309" s="2046"/>
      <c r="AF309" s="2046"/>
      <c r="AG309" s="2046"/>
      <c r="AH309" s="2046"/>
      <c r="AI309" s="2046"/>
      <c r="AJ309" s="2046"/>
      <c r="AK309" s="2046"/>
      <c r="AL309" s="2046"/>
      <c r="AM309" s="2046"/>
      <c r="AN309" s="2046"/>
      <c r="AO309" s="2046"/>
      <c r="AP309" s="2046"/>
      <c r="AQ309" s="2046"/>
      <c r="AR309" s="2046"/>
      <c r="AS309" s="2046"/>
      <c r="AT309" s="2046"/>
      <c r="AU309" s="2046"/>
      <c r="AV309" s="2046"/>
      <c r="AW309" s="2046"/>
      <c r="AX309" s="2046"/>
      <c r="AY309" s="2046"/>
      <c r="AZ309" s="2046"/>
      <c r="BA309" s="2046"/>
      <c r="BB309" s="2046"/>
      <c r="BC309" s="2046"/>
      <c r="BD309" s="2046"/>
      <c r="BE309" s="2046"/>
      <c r="BF309" s="2046"/>
      <c r="BG309" s="2046"/>
      <c r="BH309" s="2046"/>
      <c r="BI309" s="2046"/>
      <c r="BJ309" s="2046"/>
      <c r="BK309" s="2046"/>
      <c r="BL309" s="2046"/>
      <c r="BM309" s="2046"/>
      <c r="BN309" s="2046"/>
      <c r="BO309" s="2046"/>
      <c r="BP309" s="2046"/>
      <c r="BQ309" s="2046"/>
      <c r="BR309" s="2046"/>
      <c r="BS309" s="2046"/>
    </row>
    <row r="320" spans="1:71" s="2047" customFormat="1" x14ac:dyDescent="0.25">
      <c r="A320" s="1754"/>
      <c r="B320" s="1754"/>
      <c r="C320" s="1754"/>
      <c r="D320" s="1755"/>
      <c r="E320" s="1754"/>
      <c r="F320" s="1755"/>
      <c r="G320" s="1749"/>
      <c r="H320" s="1755"/>
      <c r="I320" s="1560"/>
      <c r="J320" s="1561"/>
      <c r="K320" s="1561"/>
      <c r="L320" s="1561"/>
      <c r="M320" s="1561"/>
      <c r="N320" s="1561">
        <v>0</v>
      </c>
      <c r="O320" s="1561">
        <v>0</v>
      </c>
      <c r="P320" s="1561">
        <v>0</v>
      </c>
      <c r="Q320" s="1560"/>
      <c r="R320" s="1561"/>
      <c r="S320" s="1561"/>
      <c r="T320" s="1561"/>
      <c r="U320" s="1756"/>
      <c r="V320" s="1756"/>
      <c r="W320" s="1756"/>
      <c r="X320" s="1756"/>
      <c r="Y320" s="2046"/>
      <c r="Z320" s="2046"/>
      <c r="AA320" s="2046"/>
      <c r="AB320" s="2046"/>
      <c r="AC320" s="2046"/>
      <c r="AD320" s="2046"/>
      <c r="AE320" s="2046"/>
      <c r="AF320" s="2046"/>
      <c r="AG320" s="2046"/>
      <c r="AH320" s="2046"/>
      <c r="AI320" s="2046"/>
      <c r="AJ320" s="2046"/>
      <c r="AK320" s="2046"/>
      <c r="AL320" s="2046"/>
      <c r="AM320" s="2046"/>
      <c r="AN320" s="2046"/>
      <c r="AO320" s="2046"/>
      <c r="AP320" s="2046"/>
      <c r="AQ320" s="2046"/>
      <c r="AR320" s="2046"/>
      <c r="AS320" s="2046"/>
      <c r="AT320" s="2046"/>
      <c r="AU320" s="2046"/>
      <c r="AV320" s="2046"/>
      <c r="AW320" s="2046"/>
      <c r="AX320" s="2046"/>
      <c r="AY320" s="2046"/>
      <c r="AZ320" s="2046"/>
      <c r="BA320" s="2046"/>
      <c r="BB320" s="2046"/>
      <c r="BC320" s="2046"/>
      <c r="BD320" s="2046"/>
      <c r="BE320" s="2046"/>
      <c r="BF320" s="2046"/>
      <c r="BG320" s="2046"/>
      <c r="BH320" s="2046"/>
      <c r="BI320" s="2046"/>
      <c r="BJ320" s="2046"/>
      <c r="BK320" s="2046"/>
      <c r="BL320" s="2046"/>
      <c r="BM320" s="2046"/>
      <c r="BN320" s="2046"/>
      <c r="BO320" s="2046"/>
      <c r="BP320" s="2046"/>
      <c r="BQ320" s="2046"/>
      <c r="BR320" s="2046"/>
      <c r="BS320" s="2046"/>
    </row>
  </sheetData>
  <mergeCells count="621">
    <mergeCell ref="A285:H285"/>
    <mergeCell ref="A286:H286"/>
    <mergeCell ref="A287:H287"/>
    <mergeCell ref="A288:H288"/>
    <mergeCell ref="A289:H289"/>
    <mergeCell ref="A290:H290"/>
    <mergeCell ref="A306:H306"/>
    <mergeCell ref="A297:H297"/>
    <mergeCell ref="A298:H298"/>
    <mergeCell ref="A302:H302"/>
    <mergeCell ref="A303:H303"/>
    <mergeCell ref="A304:H304"/>
    <mergeCell ref="A305:H305"/>
    <mergeCell ref="A291:H291"/>
    <mergeCell ref="A292:H292"/>
    <mergeCell ref="A293:H293"/>
    <mergeCell ref="A294:H294"/>
    <mergeCell ref="A295:G295"/>
    <mergeCell ref="A296:H296"/>
    <mergeCell ref="G272:G274"/>
    <mergeCell ref="F275:H275"/>
    <mergeCell ref="C276:H276"/>
    <mergeCell ref="B282:H282"/>
    <mergeCell ref="A283:H283"/>
    <mergeCell ref="A284:H284"/>
    <mergeCell ref="A272:A275"/>
    <mergeCell ref="B272:B275"/>
    <mergeCell ref="C272:C275"/>
    <mergeCell ref="D272:D275"/>
    <mergeCell ref="E272:E274"/>
    <mergeCell ref="F272:F274"/>
    <mergeCell ref="C277:X277"/>
    <mergeCell ref="A278:A280"/>
    <mergeCell ref="B278:B280"/>
    <mergeCell ref="C278:C280"/>
    <mergeCell ref="D278:D280"/>
    <mergeCell ref="E278:E280"/>
    <mergeCell ref="F280:H280"/>
    <mergeCell ref="C281:H281"/>
    <mergeCell ref="G278:G279"/>
    <mergeCell ref="F278:F279"/>
    <mergeCell ref="A264:A271"/>
    <mergeCell ref="B264:B271"/>
    <mergeCell ref="C264:C271"/>
    <mergeCell ref="D264:D271"/>
    <mergeCell ref="F264:F270"/>
    <mergeCell ref="F271:H271"/>
    <mergeCell ref="F261:H261"/>
    <mergeCell ref="A262:A263"/>
    <mergeCell ref="B262:B263"/>
    <mergeCell ref="C262:C263"/>
    <mergeCell ref="D262:D263"/>
    <mergeCell ref="E262:E263"/>
    <mergeCell ref="F263:H263"/>
    <mergeCell ref="G247:G248"/>
    <mergeCell ref="F249:H249"/>
    <mergeCell ref="C250:H250"/>
    <mergeCell ref="C251:X251"/>
    <mergeCell ref="A252:A261"/>
    <mergeCell ref="B252:B261"/>
    <mergeCell ref="C252:C261"/>
    <mergeCell ref="D252:D261"/>
    <mergeCell ref="F252:F260"/>
    <mergeCell ref="H252:H260"/>
    <mergeCell ref="A247:A249"/>
    <mergeCell ref="B247:B249"/>
    <mergeCell ref="C247:C249"/>
    <mergeCell ref="D247:D249"/>
    <mergeCell ref="E247:E249"/>
    <mergeCell ref="F247:F248"/>
    <mergeCell ref="A245:A246"/>
    <mergeCell ref="B245:B246"/>
    <mergeCell ref="C245:C246"/>
    <mergeCell ref="D245:D246"/>
    <mergeCell ref="E245:E246"/>
    <mergeCell ref="F246:H246"/>
    <mergeCell ref="C239:H239"/>
    <mergeCell ref="C240:X240"/>
    <mergeCell ref="A241:A244"/>
    <mergeCell ref="B241:B244"/>
    <mergeCell ref="C241:C244"/>
    <mergeCell ref="D241:D244"/>
    <mergeCell ref="E241:E244"/>
    <mergeCell ref="F241:F243"/>
    <mergeCell ref="G241:G243"/>
    <mergeCell ref="F244:H244"/>
    <mergeCell ref="C233:H233"/>
    <mergeCell ref="B234:H234"/>
    <mergeCell ref="B235:X235"/>
    <mergeCell ref="C236:X236"/>
    <mergeCell ref="A237:A238"/>
    <mergeCell ref="B237:B238"/>
    <mergeCell ref="C237:C238"/>
    <mergeCell ref="D237:D238"/>
    <mergeCell ref="E237:E238"/>
    <mergeCell ref="F238:H238"/>
    <mergeCell ref="A231:A232"/>
    <mergeCell ref="B231:B232"/>
    <mergeCell ref="C231:C232"/>
    <mergeCell ref="D231:D232"/>
    <mergeCell ref="E231:E232"/>
    <mergeCell ref="F232:H232"/>
    <mergeCell ref="A229:A230"/>
    <mergeCell ref="B229:B230"/>
    <mergeCell ref="C229:C230"/>
    <mergeCell ref="D229:D230"/>
    <mergeCell ref="E229:E230"/>
    <mergeCell ref="F230:H230"/>
    <mergeCell ref="A227:A228"/>
    <mergeCell ref="B227:B228"/>
    <mergeCell ref="C227:C228"/>
    <mergeCell ref="D227:D228"/>
    <mergeCell ref="E227:E228"/>
    <mergeCell ref="F228:H228"/>
    <mergeCell ref="A225:A226"/>
    <mergeCell ref="B225:B226"/>
    <mergeCell ref="C225:C226"/>
    <mergeCell ref="D225:D226"/>
    <mergeCell ref="E225:E226"/>
    <mergeCell ref="F226:H226"/>
    <mergeCell ref="A223:A224"/>
    <mergeCell ref="B223:B224"/>
    <mergeCell ref="C223:C224"/>
    <mergeCell ref="D223:D224"/>
    <mergeCell ref="E223:E224"/>
    <mergeCell ref="F224:H224"/>
    <mergeCell ref="A221:A222"/>
    <mergeCell ref="B221:B222"/>
    <mergeCell ref="C221:C222"/>
    <mergeCell ref="D221:D222"/>
    <mergeCell ref="E221:E222"/>
    <mergeCell ref="F222:H222"/>
    <mergeCell ref="A219:A220"/>
    <mergeCell ref="B219:B220"/>
    <mergeCell ref="C219:C220"/>
    <mergeCell ref="D219:D220"/>
    <mergeCell ref="E219:E220"/>
    <mergeCell ref="F220:H220"/>
    <mergeCell ref="A217:A218"/>
    <mergeCell ref="B217:B218"/>
    <mergeCell ref="C217:C218"/>
    <mergeCell ref="D217:D218"/>
    <mergeCell ref="E217:E218"/>
    <mergeCell ref="F218:H218"/>
    <mergeCell ref="A215:A216"/>
    <mergeCell ref="B215:B216"/>
    <mergeCell ref="C215:C216"/>
    <mergeCell ref="D215:D216"/>
    <mergeCell ref="E215:E216"/>
    <mergeCell ref="F216:H216"/>
    <mergeCell ref="A213:A214"/>
    <mergeCell ref="B213:B214"/>
    <mergeCell ref="C213:C214"/>
    <mergeCell ref="D213:D214"/>
    <mergeCell ref="E213:E214"/>
    <mergeCell ref="F214:H214"/>
    <mergeCell ref="C209:H209"/>
    <mergeCell ref="C210:X210"/>
    <mergeCell ref="A211:A212"/>
    <mergeCell ref="B211:B212"/>
    <mergeCell ref="C211:C212"/>
    <mergeCell ref="D211:D212"/>
    <mergeCell ref="E211:E212"/>
    <mergeCell ref="F212:H212"/>
    <mergeCell ref="G202:G204"/>
    <mergeCell ref="F205:H205"/>
    <mergeCell ref="A206:A208"/>
    <mergeCell ref="B206:B208"/>
    <mergeCell ref="C206:C208"/>
    <mergeCell ref="D206:D208"/>
    <mergeCell ref="E206:E208"/>
    <mergeCell ref="F206:F207"/>
    <mergeCell ref="G206:G207"/>
    <mergeCell ref="F208:H208"/>
    <mergeCell ref="A202:A205"/>
    <mergeCell ref="B202:B205"/>
    <mergeCell ref="C202:C205"/>
    <mergeCell ref="D202:D205"/>
    <mergeCell ref="E202:E205"/>
    <mergeCell ref="F202:F204"/>
    <mergeCell ref="A200:A201"/>
    <mergeCell ref="B200:B201"/>
    <mergeCell ref="C200:C201"/>
    <mergeCell ref="D200:D201"/>
    <mergeCell ref="E200:E201"/>
    <mergeCell ref="F201:H201"/>
    <mergeCell ref="C194:H194"/>
    <mergeCell ref="B195:H195"/>
    <mergeCell ref="B196:X196"/>
    <mergeCell ref="C197:X197"/>
    <mergeCell ref="A198:A199"/>
    <mergeCell ref="B198:B199"/>
    <mergeCell ref="C198:C199"/>
    <mergeCell ref="D198:D199"/>
    <mergeCell ref="E198:E199"/>
    <mergeCell ref="F199:H199"/>
    <mergeCell ref="C190:H190"/>
    <mergeCell ref="C191:X191"/>
    <mergeCell ref="A192:A193"/>
    <mergeCell ref="B192:B193"/>
    <mergeCell ref="C192:C193"/>
    <mergeCell ref="D192:D193"/>
    <mergeCell ref="E192:E193"/>
    <mergeCell ref="F193:H193"/>
    <mergeCell ref="A188:A189"/>
    <mergeCell ref="B188:B189"/>
    <mergeCell ref="C188:C189"/>
    <mergeCell ref="D188:D189"/>
    <mergeCell ref="E188:E189"/>
    <mergeCell ref="F189:H189"/>
    <mergeCell ref="A186:A187"/>
    <mergeCell ref="B186:B187"/>
    <mergeCell ref="C186:C187"/>
    <mergeCell ref="D186:D187"/>
    <mergeCell ref="E186:E187"/>
    <mergeCell ref="F187:H187"/>
    <mergeCell ref="C182:H182"/>
    <mergeCell ref="C183:X183"/>
    <mergeCell ref="A184:A185"/>
    <mergeCell ref="B184:B185"/>
    <mergeCell ref="C184:C185"/>
    <mergeCell ref="D184:D185"/>
    <mergeCell ref="E184:E185"/>
    <mergeCell ref="F185:H185"/>
    <mergeCell ref="G175:G177"/>
    <mergeCell ref="F178:H178"/>
    <mergeCell ref="A179:A181"/>
    <mergeCell ref="B179:B181"/>
    <mergeCell ref="C179:H179"/>
    <mergeCell ref="C180:H180"/>
    <mergeCell ref="C181:H181"/>
    <mergeCell ref="A175:A178"/>
    <mergeCell ref="B175:B178"/>
    <mergeCell ref="C175:C178"/>
    <mergeCell ref="D175:D178"/>
    <mergeCell ref="E175:E178"/>
    <mergeCell ref="F175:F177"/>
    <mergeCell ref="A173:A174"/>
    <mergeCell ref="B173:B174"/>
    <mergeCell ref="C173:C174"/>
    <mergeCell ref="D173:D174"/>
    <mergeCell ref="E173:E174"/>
    <mergeCell ref="F174:H174"/>
    <mergeCell ref="C169:H169"/>
    <mergeCell ref="C170:X170"/>
    <mergeCell ref="A171:A172"/>
    <mergeCell ref="B171:B172"/>
    <mergeCell ref="C171:C172"/>
    <mergeCell ref="D171:D172"/>
    <mergeCell ref="E171:E172"/>
    <mergeCell ref="F172:H172"/>
    <mergeCell ref="A165:A166"/>
    <mergeCell ref="B165:B166"/>
    <mergeCell ref="C165:H165"/>
    <mergeCell ref="C166:H166"/>
    <mergeCell ref="G167:H167"/>
    <mergeCell ref="G168:H168"/>
    <mergeCell ref="A163:A164"/>
    <mergeCell ref="B163:B164"/>
    <mergeCell ref="C163:C164"/>
    <mergeCell ref="D163:D164"/>
    <mergeCell ref="E163:E164"/>
    <mergeCell ref="F164:H164"/>
    <mergeCell ref="G157:G159"/>
    <mergeCell ref="F160:H160"/>
    <mergeCell ref="A161:A162"/>
    <mergeCell ref="B161:B162"/>
    <mergeCell ref="C161:C162"/>
    <mergeCell ref="D161:D162"/>
    <mergeCell ref="E161:E162"/>
    <mergeCell ref="F162:H162"/>
    <mergeCell ref="A157:A160"/>
    <mergeCell ref="B157:B160"/>
    <mergeCell ref="C157:C160"/>
    <mergeCell ref="D157:D160"/>
    <mergeCell ref="E157:E160"/>
    <mergeCell ref="F157:F159"/>
    <mergeCell ref="G150:G152"/>
    <mergeCell ref="F153:H153"/>
    <mergeCell ref="A154:A156"/>
    <mergeCell ref="B154:B156"/>
    <mergeCell ref="C154:C156"/>
    <mergeCell ref="D154:D156"/>
    <mergeCell ref="E154:E156"/>
    <mergeCell ref="F154:F155"/>
    <mergeCell ref="G154:G155"/>
    <mergeCell ref="F156:H156"/>
    <mergeCell ref="A150:A153"/>
    <mergeCell ref="B150:B153"/>
    <mergeCell ref="C150:C153"/>
    <mergeCell ref="D150:D153"/>
    <mergeCell ref="E150:E153"/>
    <mergeCell ref="F150:F152"/>
    <mergeCell ref="F144:H144"/>
    <mergeCell ref="A145:A149"/>
    <mergeCell ref="B145:B149"/>
    <mergeCell ref="C145:C149"/>
    <mergeCell ref="D145:D149"/>
    <mergeCell ref="E145:E149"/>
    <mergeCell ref="F145:F148"/>
    <mergeCell ref="G145:G148"/>
    <mergeCell ref="F149:H149"/>
    <mergeCell ref="A140:A144"/>
    <mergeCell ref="B140:B144"/>
    <mergeCell ref="C140:C144"/>
    <mergeCell ref="D140:D144"/>
    <mergeCell ref="E140:E144"/>
    <mergeCell ref="F140:F143"/>
    <mergeCell ref="A136:A139"/>
    <mergeCell ref="B136:B139"/>
    <mergeCell ref="C136:C139"/>
    <mergeCell ref="D136:D139"/>
    <mergeCell ref="E136:E139"/>
    <mergeCell ref="F136:F138"/>
    <mergeCell ref="G136:G138"/>
    <mergeCell ref="F139:H139"/>
    <mergeCell ref="G140:G143"/>
    <mergeCell ref="C131:H131"/>
    <mergeCell ref="C132:X132"/>
    <mergeCell ref="A133:A135"/>
    <mergeCell ref="B133:B135"/>
    <mergeCell ref="C133:C135"/>
    <mergeCell ref="D133:D135"/>
    <mergeCell ref="E133:E135"/>
    <mergeCell ref="F133:F134"/>
    <mergeCell ref="G133:G134"/>
    <mergeCell ref="F135:H135"/>
    <mergeCell ref="F122:H122"/>
    <mergeCell ref="A123:A130"/>
    <mergeCell ref="B123:B130"/>
    <mergeCell ref="C123:H123"/>
    <mergeCell ref="C124:H124"/>
    <mergeCell ref="C125:H125"/>
    <mergeCell ref="G126:H126"/>
    <mergeCell ref="C127:H127"/>
    <mergeCell ref="G128:H128"/>
    <mergeCell ref="A118:A122"/>
    <mergeCell ref="B118:B122"/>
    <mergeCell ref="C118:C122"/>
    <mergeCell ref="D118:D122"/>
    <mergeCell ref="E118:E122"/>
    <mergeCell ref="G129:H129"/>
    <mergeCell ref="C130:H130"/>
    <mergeCell ref="G118:G121"/>
    <mergeCell ref="F118:F121"/>
    <mergeCell ref="G112:G113"/>
    <mergeCell ref="F114:H114"/>
    <mergeCell ref="A115:A117"/>
    <mergeCell ref="B115:B117"/>
    <mergeCell ref="C115:C117"/>
    <mergeCell ref="D115:D117"/>
    <mergeCell ref="E115:E117"/>
    <mergeCell ref="F115:F116"/>
    <mergeCell ref="G115:G116"/>
    <mergeCell ref="F117:H117"/>
    <mergeCell ref="A112:A114"/>
    <mergeCell ref="B112:B114"/>
    <mergeCell ref="C112:C114"/>
    <mergeCell ref="D112:D114"/>
    <mergeCell ref="E112:E114"/>
    <mergeCell ref="F112:F113"/>
    <mergeCell ref="A110:A111"/>
    <mergeCell ref="B110:B111"/>
    <mergeCell ref="C110:C111"/>
    <mergeCell ref="D110:D111"/>
    <mergeCell ref="E110:E111"/>
    <mergeCell ref="F111:H111"/>
    <mergeCell ref="G104:G106"/>
    <mergeCell ref="F107:H107"/>
    <mergeCell ref="A108:A109"/>
    <mergeCell ref="B108:B109"/>
    <mergeCell ref="C108:C109"/>
    <mergeCell ref="D108:D109"/>
    <mergeCell ref="E108:E109"/>
    <mergeCell ref="F109:H109"/>
    <mergeCell ref="A104:A107"/>
    <mergeCell ref="B104:B107"/>
    <mergeCell ref="C104:C107"/>
    <mergeCell ref="D104:D107"/>
    <mergeCell ref="E104:E107"/>
    <mergeCell ref="F104:F106"/>
    <mergeCell ref="G96:G99"/>
    <mergeCell ref="F100:H100"/>
    <mergeCell ref="A101:A103"/>
    <mergeCell ref="B101:B103"/>
    <mergeCell ref="C101:C103"/>
    <mergeCell ref="D101:D103"/>
    <mergeCell ref="E101:E103"/>
    <mergeCell ref="F101:F102"/>
    <mergeCell ref="G101:G102"/>
    <mergeCell ref="F103:H103"/>
    <mergeCell ref="A96:A100"/>
    <mergeCell ref="B96:B100"/>
    <mergeCell ref="C96:C100"/>
    <mergeCell ref="D96:D100"/>
    <mergeCell ref="E96:E100"/>
    <mergeCell ref="F96:F99"/>
    <mergeCell ref="A94:A95"/>
    <mergeCell ref="B94:B95"/>
    <mergeCell ref="C94:C95"/>
    <mergeCell ref="D94:D95"/>
    <mergeCell ref="E94:E95"/>
    <mergeCell ref="F95:H95"/>
    <mergeCell ref="G87:G89"/>
    <mergeCell ref="F90:H90"/>
    <mergeCell ref="A91:A93"/>
    <mergeCell ref="B91:B93"/>
    <mergeCell ref="C91:C93"/>
    <mergeCell ref="D91:D93"/>
    <mergeCell ref="E91:E93"/>
    <mergeCell ref="F91:F92"/>
    <mergeCell ref="G91:G92"/>
    <mergeCell ref="F93:H93"/>
    <mergeCell ref="A87:A90"/>
    <mergeCell ref="B87:B90"/>
    <mergeCell ref="C87:C90"/>
    <mergeCell ref="D87:D90"/>
    <mergeCell ref="E87:E90"/>
    <mergeCell ref="F87:F89"/>
    <mergeCell ref="F81:H81"/>
    <mergeCell ref="A82:A86"/>
    <mergeCell ref="B82:B86"/>
    <mergeCell ref="C82:C86"/>
    <mergeCell ref="D82:D86"/>
    <mergeCell ref="E82:E86"/>
    <mergeCell ref="F82:F85"/>
    <mergeCell ref="G82:G85"/>
    <mergeCell ref="F86:H86"/>
    <mergeCell ref="A76:A81"/>
    <mergeCell ref="B76:B81"/>
    <mergeCell ref="C76:C81"/>
    <mergeCell ref="D76:D81"/>
    <mergeCell ref="E76:E81"/>
    <mergeCell ref="G76:G80"/>
    <mergeCell ref="F76:F80"/>
    <mergeCell ref="G70:G72"/>
    <mergeCell ref="F73:H73"/>
    <mergeCell ref="A74:A75"/>
    <mergeCell ref="B74:B75"/>
    <mergeCell ref="C74:C75"/>
    <mergeCell ref="D74:D75"/>
    <mergeCell ref="E74:E75"/>
    <mergeCell ref="F75:H75"/>
    <mergeCell ref="A70:A73"/>
    <mergeCell ref="B70:B73"/>
    <mergeCell ref="C70:C73"/>
    <mergeCell ref="D70:D73"/>
    <mergeCell ref="E70:E73"/>
    <mergeCell ref="F70:F72"/>
    <mergeCell ref="C64:X64"/>
    <mergeCell ref="A65:A69"/>
    <mergeCell ref="B65:B69"/>
    <mergeCell ref="C65:C69"/>
    <mergeCell ref="D65:D69"/>
    <mergeCell ref="E65:E69"/>
    <mergeCell ref="F65:F68"/>
    <mergeCell ref="G65:G68"/>
    <mergeCell ref="F69:H69"/>
    <mergeCell ref="A60:A61"/>
    <mergeCell ref="B60:B61"/>
    <mergeCell ref="C60:H60"/>
    <mergeCell ref="C61:H61"/>
    <mergeCell ref="G62:H62"/>
    <mergeCell ref="C63:H63"/>
    <mergeCell ref="G54:G55"/>
    <mergeCell ref="F56:H56"/>
    <mergeCell ref="A57:A59"/>
    <mergeCell ref="B57:B59"/>
    <mergeCell ref="C57:C59"/>
    <mergeCell ref="D57:D59"/>
    <mergeCell ref="E57:E59"/>
    <mergeCell ref="F57:F58"/>
    <mergeCell ref="G57:G58"/>
    <mergeCell ref="F59:H59"/>
    <mergeCell ref="C50:H50"/>
    <mergeCell ref="G51:H51"/>
    <mergeCell ref="C52:H52"/>
    <mergeCell ref="C53:X53"/>
    <mergeCell ref="A54:A56"/>
    <mergeCell ref="B54:B56"/>
    <mergeCell ref="C54:C56"/>
    <mergeCell ref="D54:D56"/>
    <mergeCell ref="E54:E56"/>
    <mergeCell ref="F54:F55"/>
    <mergeCell ref="A48:A49"/>
    <mergeCell ref="B48:B49"/>
    <mergeCell ref="C48:C49"/>
    <mergeCell ref="D48:D49"/>
    <mergeCell ref="E48:E49"/>
    <mergeCell ref="F49:H49"/>
    <mergeCell ref="G43:G44"/>
    <mergeCell ref="F45:H45"/>
    <mergeCell ref="A46:A47"/>
    <mergeCell ref="B46:B47"/>
    <mergeCell ref="C46:C47"/>
    <mergeCell ref="D46:D47"/>
    <mergeCell ref="E46:E47"/>
    <mergeCell ref="F47:H47"/>
    <mergeCell ref="A43:A45"/>
    <mergeCell ref="B43:B45"/>
    <mergeCell ref="C43:C45"/>
    <mergeCell ref="D43:D45"/>
    <mergeCell ref="E43:E45"/>
    <mergeCell ref="F43:F44"/>
    <mergeCell ref="G37:G38"/>
    <mergeCell ref="F39:H39"/>
    <mergeCell ref="A40:A42"/>
    <mergeCell ref="B40:B42"/>
    <mergeCell ref="C40:C42"/>
    <mergeCell ref="D40:D42"/>
    <mergeCell ref="E40:E42"/>
    <mergeCell ref="F40:F41"/>
    <mergeCell ref="G40:G41"/>
    <mergeCell ref="F42:H42"/>
    <mergeCell ref="A37:A39"/>
    <mergeCell ref="B37:B39"/>
    <mergeCell ref="C37:C39"/>
    <mergeCell ref="D37:D39"/>
    <mergeCell ref="E37:E39"/>
    <mergeCell ref="F37:F38"/>
    <mergeCell ref="G31:G32"/>
    <mergeCell ref="F33:H33"/>
    <mergeCell ref="A34:A36"/>
    <mergeCell ref="B34:B36"/>
    <mergeCell ref="C34:C36"/>
    <mergeCell ref="D34:D36"/>
    <mergeCell ref="E34:E36"/>
    <mergeCell ref="F34:F35"/>
    <mergeCell ref="G34:G35"/>
    <mergeCell ref="F36:H36"/>
    <mergeCell ref="A31:A33"/>
    <mergeCell ref="B31:B33"/>
    <mergeCell ref="C31:C33"/>
    <mergeCell ref="D31:D33"/>
    <mergeCell ref="E31:E33"/>
    <mergeCell ref="F31:F32"/>
    <mergeCell ref="G24:G26"/>
    <mergeCell ref="F27:H27"/>
    <mergeCell ref="A28:A30"/>
    <mergeCell ref="B28:B30"/>
    <mergeCell ref="C28:C30"/>
    <mergeCell ref="D28:D30"/>
    <mergeCell ref="E28:E30"/>
    <mergeCell ref="F28:F29"/>
    <mergeCell ref="G28:G29"/>
    <mergeCell ref="F30:H30"/>
    <mergeCell ref="A24:A27"/>
    <mergeCell ref="B24:B27"/>
    <mergeCell ref="C24:C27"/>
    <mergeCell ref="D24:D27"/>
    <mergeCell ref="E24:E27"/>
    <mergeCell ref="F24:F26"/>
    <mergeCell ref="F20:H20"/>
    <mergeCell ref="A21:A23"/>
    <mergeCell ref="B21:B23"/>
    <mergeCell ref="C21:C23"/>
    <mergeCell ref="D21:D23"/>
    <mergeCell ref="E21:E23"/>
    <mergeCell ref="F21:F22"/>
    <mergeCell ref="G21:G22"/>
    <mergeCell ref="F23:H23"/>
    <mergeCell ref="A18:A20"/>
    <mergeCell ref="B18:B20"/>
    <mergeCell ref="C18:C20"/>
    <mergeCell ref="D18:D20"/>
    <mergeCell ref="E18:E20"/>
    <mergeCell ref="F18:F19"/>
    <mergeCell ref="A15:A17"/>
    <mergeCell ref="B15:B17"/>
    <mergeCell ref="C15:C17"/>
    <mergeCell ref="D15:D17"/>
    <mergeCell ref="E15:E17"/>
    <mergeCell ref="F15:F16"/>
    <mergeCell ref="G15:G16"/>
    <mergeCell ref="F17:H17"/>
    <mergeCell ref="G18:G19"/>
    <mergeCell ref="A8:X8"/>
    <mergeCell ref="A9:X9"/>
    <mergeCell ref="B10:X10"/>
    <mergeCell ref="C11:X11"/>
    <mergeCell ref="A12:A14"/>
    <mergeCell ref="B12:B14"/>
    <mergeCell ref="C12:C14"/>
    <mergeCell ref="D12:D14"/>
    <mergeCell ref="E12:E14"/>
    <mergeCell ref="F12:F13"/>
    <mergeCell ref="G12:G13"/>
    <mergeCell ref="F14:H14"/>
    <mergeCell ref="V5:X5"/>
    <mergeCell ref="J6:K6"/>
    <mergeCell ref="L6:L7"/>
    <mergeCell ref="N6:O6"/>
    <mergeCell ref="P6:P7"/>
    <mergeCell ref="R6:S6"/>
    <mergeCell ref="T6:T7"/>
    <mergeCell ref="V6:W6"/>
    <mergeCell ref="X6:X7"/>
    <mergeCell ref="F4:F7"/>
    <mergeCell ref="G4:G7"/>
    <mergeCell ref="H4:H7"/>
    <mergeCell ref="I4:L4"/>
    <mergeCell ref="M4:P4"/>
    <mergeCell ref="Q4:T4"/>
    <mergeCell ref="U1:X1"/>
    <mergeCell ref="A3:H3"/>
    <mergeCell ref="J3:L3"/>
    <mergeCell ref="V3:X3"/>
    <mergeCell ref="A4:A7"/>
    <mergeCell ref="B4:B7"/>
    <mergeCell ref="C4:C7"/>
    <mergeCell ref="D4:D7"/>
    <mergeCell ref="E4:E7"/>
    <mergeCell ref="U4:X4"/>
    <mergeCell ref="A2:X2"/>
    <mergeCell ref="I5:I7"/>
    <mergeCell ref="J5:L5"/>
    <mergeCell ref="M5:M7"/>
    <mergeCell ref="N5:P5"/>
    <mergeCell ref="Q5:Q7"/>
    <mergeCell ref="R5:T5"/>
    <mergeCell ref="U5:U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74"/>
  <sheetViews>
    <sheetView showZeros="0" topLeftCell="A31" zoomScale="115" zoomScaleNormal="115" zoomScaleSheetLayoutView="100" workbookViewId="0">
      <selection activeCell="P54" sqref="P54"/>
    </sheetView>
  </sheetViews>
  <sheetFormatPr defaultColWidth="8.85546875" defaultRowHeight="15" x14ac:dyDescent="0.25"/>
  <cols>
    <col min="1" max="1" width="3.42578125" style="1059" customWidth="1"/>
    <col min="2" max="2" width="3.140625" style="1059" customWidth="1"/>
    <col min="3" max="3" width="3.42578125" style="1059" customWidth="1"/>
    <col min="4" max="4" width="17.5703125" style="1060" customWidth="1"/>
    <col min="5" max="5" width="4.7109375" style="1061" customWidth="1"/>
    <col min="6" max="6" width="10.85546875" style="1061" customWidth="1"/>
    <col min="7" max="7" width="7.5703125" style="1059" customWidth="1"/>
    <col min="8" max="8" width="7.5703125" style="1062" customWidth="1"/>
    <col min="9" max="9" width="7.5703125" style="814" customWidth="1"/>
    <col min="10" max="10" width="7.5703125" style="812" customWidth="1"/>
    <col min="11" max="11" width="9.28515625" style="812" customWidth="1"/>
    <col min="12" max="12" width="7.5703125" style="812" customWidth="1"/>
    <col min="13" max="13" width="7.42578125" style="813" customWidth="1"/>
    <col min="14" max="14" width="7.85546875" style="813" customWidth="1"/>
    <col min="15" max="16" width="7.5703125" style="813" customWidth="1"/>
    <col min="17" max="17" width="9.42578125" style="813" customWidth="1"/>
    <col min="18" max="18" width="7.85546875" style="813" customWidth="1"/>
    <col min="19" max="20" width="7.5703125" style="813" customWidth="1"/>
    <col min="21" max="21" width="9.42578125" style="813" customWidth="1"/>
    <col min="22" max="22" width="7.85546875" style="813" customWidth="1"/>
    <col min="23" max="24" width="7.5703125" style="813" customWidth="1"/>
    <col min="25" max="25" width="4" style="813" customWidth="1"/>
    <col min="26" max="34" width="9.140625" style="813" customWidth="1"/>
    <col min="35" max="16384" width="8.85546875" style="813"/>
  </cols>
  <sheetData>
    <row r="1" spans="1:24" ht="47.45" customHeight="1" x14ac:dyDescent="0.25">
      <c r="A1" s="2347"/>
      <c r="B1" s="2348"/>
      <c r="C1" s="2348"/>
      <c r="D1" s="2349"/>
      <c r="E1" s="2350"/>
      <c r="F1" s="2351"/>
      <c r="G1" s="2348"/>
      <c r="H1" s="2352"/>
      <c r="I1" s="2353"/>
      <c r="J1" s="2353"/>
      <c r="K1" s="2353"/>
      <c r="L1" s="2354"/>
      <c r="M1" s="2353"/>
      <c r="N1" s="2353"/>
      <c r="O1" s="2353"/>
      <c r="P1" s="2353"/>
      <c r="Q1" s="2353"/>
      <c r="R1" s="2353"/>
      <c r="S1" s="2353"/>
      <c r="T1" s="2353"/>
      <c r="U1" s="3671" t="s">
        <v>0</v>
      </c>
      <c r="V1" s="3671"/>
      <c r="W1" s="3671"/>
      <c r="X1" s="3672"/>
    </row>
    <row r="2" spans="1:24" ht="32.25" customHeight="1" x14ac:dyDescent="0.25">
      <c r="A2" s="3673" t="s">
        <v>840</v>
      </c>
      <c r="B2" s="3674"/>
      <c r="C2" s="3674"/>
      <c r="D2" s="3674"/>
      <c r="E2" s="3674"/>
      <c r="F2" s="3674"/>
      <c r="G2" s="3674"/>
      <c r="H2" s="3674"/>
      <c r="I2" s="3674"/>
      <c r="J2" s="3674"/>
      <c r="K2" s="3674"/>
      <c r="L2" s="3674"/>
      <c r="M2" s="3674"/>
      <c r="N2" s="3674"/>
      <c r="O2" s="3674"/>
      <c r="P2" s="3674"/>
      <c r="Q2" s="3674"/>
      <c r="R2" s="3674"/>
      <c r="S2" s="3674"/>
      <c r="T2" s="3674"/>
      <c r="U2" s="3674"/>
      <c r="V2" s="3674"/>
      <c r="W2" s="3674"/>
      <c r="X2" s="3675"/>
    </row>
    <row r="3" spans="1:24" ht="15.75" thickBot="1" x14ac:dyDescent="0.3">
      <c r="A3" s="2355"/>
      <c r="B3" s="2356"/>
      <c r="C3" s="2356"/>
      <c r="D3" s="2357"/>
      <c r="E3" s="2358"/>
      <c r="F3" s="2358"/>
      <c r="G3" s="2356"/>
      <c r="H3" s="2359"/>
      <c r="I3" s="2360"/>
      <c r="J3" s="2361"/>
      <c r="K3" s="2346"/>
      <c r="L3" s="2346"/>
      <c r="M3" s="2358"/>
      <c r="N3" s="2346"/>
      <c r="O3" s="3676"/>
      <c r="P3" s="3676"/>
      <c r="Q3" s="2358"/>
      <c r="R3" s="2346"/>
      <c r="S3" s="3676"/>
      <c r="T3" s="3676"/>
      <c r="U3" s="2358"/>
      <c r="V3" s="2346"/>
      <c r="W3" s="3676" t="s">
        <v>2</v>
      </c>
      <c r="X3" s="3677"/>
    </row>
    <row r="4" spans="1:24" s="815" customFormat="1" ht="11.25" customHeight="1" x14ac:dyDescent="0.2">
      <c r="A4" s="3668" t="s">
        <v>3</v>
      </c>
      <c r="B4" s="3668" t="s">
        <v>4</v>
      </c>
      <c r="C4" s="3668" t="s">
        <v>5</v>
      </c>
      <c r="D4" s="3679" t="s">
        <v>6</v>
      </c>
      <c r="E4" s="3668" t="s">
        <v>7</v>
      </c>
      <c r="F4" s="3668" t="s">
        <v>8</v>
      </c>
      <c r="G4" s="3668" t="s">
        <v>9</v>
      </c>
      <c r="H4" s="3668" t="s">
        <v>10</v>
      </c>
      <c r="I4" s="3681" t="s">
        <v>11</v>
      </c>
      <c r="J4" s="3682"/>
      <c r="K4" s="3682"/>
      <c r="L4" s="3683"/>
      <c r="M4" s="3681" t="s">
        <v>12</v>
      </c>
      <c r="N4" s="3682"/>
      <c r="O4" s="3682"/>
      <c r="P4" s="3683"/>
      <c r="Q4" s="3681" t="s">
        <v>13</v>
      </c>
      <c r="R4" s="3682"/>
      <c r="S4" s="3682"/>
      <c r="T4" s="3683"/>
      <c r="U4" s="3681" t="s">
        <v>14</v>
      </c>
      <c r="V4" s="3682"/>
      <c r="W4" s="3682"/>
      <c r="X4" s="3683"/>
    </row>
    <row r="5" spans="1:24" s="815" customFormat="1" ht="11.25" customHeight="1" x14ac:dyDescent="0.2">
      <c r="A5" s="3678"/>
      <c r="B5" s="3678"/>
      <c r="C5" s="3678"/>
      <c r="D5" s="3680"/>
      <c r="E5" s="3669"/>
      <c r="F5" s="3669"/>
      <c r="G5" s="3670"/>
      <c r="H5" s="3669"/>
      <c r="I5" s="3684" t="s">
        <v>15</v>
      </c>
      <c r="J5" s="3686" t="s">
        <v>16</v>
      </c>
      <c r="K5" s="3687"/>
      <c r="L5" s="3688"/>
      <c r="M5" s="3684" t="s">
        <v>15</v>
      </c>
      <c r="N5" s="3686" t="s">
        <v>16</v>
      </c>
      <c r="O5" s="3687"/>
      <c r="P5" s="3688"/>
      <c r="Q5" s="3684" t="s">
        <v>15</v>
      </c>
      <c r="R5" s="3686" t="s">
        <v>16</v>
      </c>
      <c r="S5" s="3687"/>
      <c r="T5" s="3688"/>
      <c r="U5" s="3684" t="s">
        <v>15</v>
      </c>
      <c r="V5" s="3686" t="s">
        <v>16</v>
      </c>
      <c r="W5" s="3687"/>
      <c r="X5" s="3688"/>
    </row>
    <row r="6" spans="1:24" s="815" customFormat="1" ht="11.25" customHeight="1" x14ac:dyDescent="0.2">
      <c r="A6" s="3678"/>
      <c r="B6" s="3678"/>
      <c r="C6" s="3678"/>
      <c r="D6" s="3680"/>
      <c r="E6" s="3669"/>
      <c r="F6" s="3669"/>
      <c r="G6" s="3670"/>
      <c r="H6" s="3669"/>
      <c r="I6" s="3685"/>
      <c r="J6" s="816" t="s">
        <v>17</v>
      </c>
      <c r="K6" s="816"/>
      <c r="L6" s="3654" t="s">
        <v>18</v>
      </c>
      <c r="M6" s="3685"/>
      <c r="N6" s="816" t="s">
        <v>17</v>
      </c>
      <c r="O6" s="816"/>
      <c r="P6" s="3654" t="s">
        <v>18</v>
      </c>
      <c r="Q6" s="3685"/>
      <c r="R6" s="816" t="s">
        <v>17</v>
      </c>
      <c r="S6" s="816"/>
      <c r="T6" s="3654" t="s">
        <v>18</v>
      </c>
      <c r="U6" s="3685"/>
      <c r="V6" s="816" t="s">
        <v>17</v>
      </c>
      <c r="W6" s="816"/>
      <c r="X6" s="3654" t="s">
        <v>18</v>
      </c>
    </row>
    <row r="7" spans="1:24" s="815" customFormat="1" ht="64.5" customHeight="1" x14ac:dyDescent="0.2">
      <c r="A7" s="3678"/>
      <c r="B7" s="3678"/>
      <c r="C7" s="3678"/>
      <c r="D7" s="3680"/>
      <c r="E7" s="3669"/>
      <c r="F7" s="3669"/>
      <c r="G7" s="3670"/>
      <c r="H7" s="3669"/>
      <c r="I7" s="3685"/>
      <c r="J7" s="817" t="s">
        <v>15</v>
      </c>
      <c r="K7" s="818" t="s">
        <v>19</v>
      </c>
      <c r="L7" s="3655"/>
      <c r="M7" s="3685"/>
      <c r="N7" s="817" t="s">
        <v>15</v>
      </c>
      <c r="O7" s="818" t="s">
        <v>19</v>
      </c>
      <c r="P7" s="3655"/>
      <c r="Q7" s="3685"/>
      <c r="R7" s="817" t="s">
        <v>15</v>
      </c>
      <c r="S7" s="818" t="s">
        <v>19</v>
      </c>
      <c r="T7" s="3655"/>
      <c r="U7" s="3685"/>
      <c r="V7" s="817" t="s">
        <v>15</v>
      </c>
      <c r="W7" s="818" t="s">
        <v>19</v>
      </c>
      <c r="X7" s="3655"/>
    </row>
    <row r="8" spans="1:24" s="819" customFormat="1" ht="13.5" customHeight="1" x14ac:dyDescent="0.25">
      <c r="A8" s="3656" t="s">
        <v>841</v>
      </c>
      <c r="B8" s="3657"/>
      <c r="C8" s="3657"/>
      <c r="D8" s="3657"/>
      <c r="E8" s="3657"/>
      <c r="F8" s="3657"/>
      <c r="G8" s="3657"/>
      <c r="H8" s="3657"/>
      <c r="I8" s="3657"/>
      <c r="J8" s="3657"/>
      <c r="K8" s="3657"/>
      <c r="L8" s="3657"/>
      <c r="M8" s="3657"/>
      <c r="N8" s="3657"/>
      <c r="O8" s="3657"/>
      <c r="P8" s="3657"/>
      <c r="Q8" s="3657"/>
      <c r="R8" s="3657"/>
      <c r="S8" s="3657"/>
      <c r="T8" s="3657"/>
      <c r="U8" s="3658"/>
      <c r="V8" s="3658"/>
      <c r="W8" s="3658"/>
      <c r="X8" s="3659"/>
    </row>
    <row r="9" spans="1:24" s="819" customFormat="1" ht="13.5" customHeight="1" x14ac:dyDescent="0.25">
      <c r="A9" s="3660" t="s">
        <v>842</v>
      </c>
      <c r="B9" s="3661"/>
      <c r="C9" s="3661"/>
      <c r="D9" s="3661"/>
      <c r="E9" s="3661"/>
      <c r="F9" s="3661"/>
      <c r="G9" s="3661"/>
      <c r="H9" s="3661"/>
      <c r="I9" s="3661"/>
      <c r="J9" s="3661"/>
      <c r="K9" s="3661"/>
      <c r="L9" s="3661"/>
      <c r="M9" s="3661"/>
      <c r="N9" s="3661"/>
      <c r="O9" s="3661"/>
      <c r="P9" s="3661"/>
      <c r="Q9" s="3661"/>
      <c r="R9" s="3661"/>
      <c r="S9" s="3661"/>
      <c r="T9" s="3661"/>
      <c r="U9" s="3658"/>
      <c r="V9" s="3658"/>
      <c r="W9" s="3658"/>
      <c r="X9" s="3659"/>
    </row>
    <row r="10" spans="1:24" s="820" customFormat="1" ht="13.5" customHeight="1" x14ac:dyDescent="0.25">
      <c r="A10" s="884">
        <v>1</v>
      </c>
      <c r="B10" s="3662" t="s">
        <v>843</v>
      </c>
      <c r="C10" s="3662"/>
      <c r="D10" s="3662"/>
      <c r="E10" s="3662"/>
      <c r="F10" s="3662"/>
      <c r="G10" s="3662"/>
      <c r="H10" s="3662"/>
      <c r="I10" s="3662"/>
      <c r="J10" s="3662"/>
      <c r="K10" s="3662"/>
      <c r="L10" s="3662"/>
      <c r="M10" s="3662"/>
      <c r="N10" s="3662"/>
      <c r="O10" s="3662"/>
      <c r="P10" s="3662"/>
      <c r="Q10" s="3662"/>
      <c r="R10" s="3662"/>
      <c r="S10" s="3662"/>
      <c r="T10" s="3662"/>
      <c r="U10" s="3663"/>
      <c r="V10" s="3663"/>
      <c r="W10" s="3663"/>
      <c r="X10" s="3664"/>
    </row>
    <row r="11" spans="1:24" s="820" customFormat="1" ht="13.5" customHeight="1" thickBot="1" x14ac:dyDescent="0.3">
      <c r="A11" s="884">
        <v>1</v>
      </c>
      <c r="B11" s="2195">
        <v>1</v>
      </c>
      <c r="C11" s="3665" t="s">
        <v>844</v>
      </c>
      <c r="D11" s="3665"/>
      <c r="E11" s="3665"/>
      <c r="F11" s="3665"/>
      <c r="G11" s="3665"/>
      <c r="H11" s="3665"/>
      <c r="I11" s="3665"/>
      <c r="J11" s="3665"/>
      <c r="K11" s="3665"/>
      <c r="L11" s="3665"/>
      <c r="M11" s="3665"/>
      <c r="N11" s="3665"/>
      <c r="O11" s="3665"/>
      <c r="P11" s="3665"/>
      <c r="Q11" s="3665"/>
      <c r="R11" s="3665"/>
      <c r="S11" s="3665"/>
      <c r="T11" s="3665"/>
      <c r="U11" s="3666"/>
      <c r="V11" s="3666"/>
      <c r="W11" s="3666"/>
      <c r="X11" s="3667"/>
    </row>
    <row r="12" spans="1:24" s="815" customFormat="1" ht="10.9" customHeight="1" x14ac:dyDescent="0.2">
      <c r="A12" s="3577">
        <v>1</v>
      </c>
      <c r="B12" s="3579">
        <v>1</v>
      </c>
      <c r="C12" s="3553">
        <v>1</v>
      </c>
      <c r="D12" s="3537" t="s">
        <v>845</v>
      </c>
      <c r="E12" s="3609" t="s">
        <v>846</v>
      </c>
      <c r="F12" s="3516" t="s">
        <v>847</v>
      </c>
      <c r="G12" s="3516" t="s">
        <v>848</v>
      </c>
      <c r="H12" s="821" t="s">
        <v>30</v>
      </c>
      <c r="I12" s="2181">
        <f>SUM(J12,L12)</f>
        <v>561.1</v>
      </c>
      <c r="J12" s="822">
        <f>563.9-3.8+1</f>
        <v>561.1</v>
      </c>
      <c r="K12" s="822">
        <v>477.6</v>
      </c>
      <c r="L12" s="823"/>
      <c r="M12" s="2181">
        <f>SUM(N12,P12)</f>
        <v>656.7</v>
      </c>
      <c r="N12" s="2053">
        <f>666.7-10</f>
        <v>656.7</v>
      </c>
      <c r="O12" s="822">
        <v>551.1</v>
      </c>
      <c r="P12" s="823"/>
      <c r="Q12" s="824">
        <v>668.8</v>
      </c>
      <c r="R12" s="822">
        <v>668.8</v>
      </c>
      <c r="S12" s="822">
        <v>554.1</v>
      </c>
      <c r="T12" s="823"/>
      <c r="U12" s="824">
        <v>668.8</v>
      </c>
      <c r="V12" s="822">
        <v>668.8</v>
      </c>
      <c r="W12" s="822">
        <v>554.1</v>
      </c>
      <c r="X12" s="823"/>
    </row>
    <row r="13" spans="1:24" s="815" customFormat="1" ht="12" customHeight="1" x14ac:dyDescent="0.2">
      <c r="A13" s="3577"/>
      <c r="B13" s="3579"/>
      <c r="C13" s="3553"/>
      <c r="D13" s="3537"/>
      <c r="E13" s="3609"/>
      <c r="F13" s="3551"/>
      <c r="G13" s="3551"/>
      <c r="H13" s="2196" t="s">
        <v>34</v>
      </c>
      <c r="I13" s="825">
        <v>19.8</v>
      </c>
      <c r="J13" s="826">
        <v>19.8</v>
      </c>
      <c r="K13" s="826"/>
      <c r="L13" s="827"/>
      <c r="M13" s="825">
        <v>10</v>
      </c>
      <c r="N13" s="826">
        <v>10</v>
      </c>
      <c r="O13" s="826"/>
      <c r="P13" s="827"/>
      <c r="Q13" s="825">
        <v>10</v>
      </c>
      <c r="R13" s="826">
        <v>10</v>
      </c>
      <c r="S13" s="826"/>
      <c r="T13" s="827"/>
      <c r="U13" s="825">
        <v>19.8</v>
      </c>
      <c r="V13" s="826">
        <v>19.8</v>
      </c>
      <c r="W13" s="826"/>
      <c r="X13" s="827"/>
    </row>
    <row r="14" spans="1:24" s="815" customFormat="1" ht="12" customHeight="1" thickBot="1" x14ac:dyDescent="0.25">
      <c r="A14" s="3577"/>
      <c r="B14" s="3579"/>
      <c r="C14" s="3553"/>
      <c r="D14" s="3537"/>
      <c r="E14" s="3609"/>
      <c r="F14" s="3555"/>
      <c r="G14" s="3555"/>
      <c r="H14" s="2188" t="s">
        <v>33</v>
      </c>
      <c r="I14" s="828">
        <f>J14</f>
        <v>8</v>
      </c>
      <c r="J14" s="829">
        <v>8</v>
      </c>
      <c r="K14" s="829">
        <v>7.9</v>
      </c>
      <c r="L14" s="830"/>
      <c r="M14" s="828">
        <v>3</v>
      </c>
      <c r="N14" s="829">
        <v>3</v>
      </c>
      <c r="O14" s="829">
        <v>3</v>
      </c>
      <c r="P14" s="830"/>
      <c r="Q14" s="828"/>
      <c r="R14" s="829"/>
      <c r="S14" s="829"/>
      <c r="T14" s="830"/>
      <c r="U14" s="828"/>
      <c r="V14" s="829"/>
      <c r="W14" s="829"/>
      <c r="X14" s="830"/>
    </row>
    <row r="15" spans="1:24" s="815" customFormat="1" ht="12" customHeight="1" thickBot="1" x14ac:dyDescent="0.25">
      <c r="A15" s="3577"/>
      <c r="B15" s="3579"/>
      <c r="C15" s="3516"/>
      <c r="D15" s="3536"/>
      <c r="E15" s="3638"/>
      <c r="F15" s="3556" t="s">
        <v>35</v>
      </c>
      <c r="G15" s="3557"/>
      <c r="H15" s="3557"/>
      <c r="I15" s="831">
        <f>J15</f>
        <v>588.9</v>
      </c>
      <c r="J15" s="832">
        <f>SUM(J12:J14)</f>
        <v>588.9</v>
      </c>
      <c r="K15" s="832">
        <f t="shared" ref="K15:L15" si="0">SUM(K12:K14)</f>
        <v>485.5</v>
      </c>
      <c r="L15" s="832">
        <f t="shared" si="0"/>
        <v>0</v>
      </c>
      <c r="M15" s="831">
        <f>M13+M12+M14</f>
        <v>669.7</v>
      </c>
      <c r="N15" s="832">
        <f>SUM(N12:N13,N14)</f>
        <v>669.7</v>
      </c>
      <c r="O15" s="832">
        <f>SUM(O12:O13,O14)</f>
        <v>554.1</v>
      </c>
      <c r="P15" s="833">
        <f>SUM(P12:P13)</f>
        <v>0</v>
      </c>
      <c r="Q15" s="831">
        <f>Q13+Q12</f>
        <v>678.8</v>
      </c>
      <c r="R15" s="832">
        <f>SUM(R12:R13)</f>
        <v>678.8</v>
      </c>
      <c r="S15" s="832">
        <f>SUM(S12:S13)</f>
        <v>554.1</v>
      </c>
      <c r="T15" s="833">
        <f>SUM(T12:T13)</f>
        <v>0</v>
      </c>
      <c r="U15" s="831">
        <f>U13+U12</f>
        <v>688.59999999999991</v>
      </c>
      <c r="V15" s="832">
        <f>SUM(V12:V13)</f>
        <v>688.59999999999991</v>
      </c>
      <c r="W15" s="832">
        <f>SUM(W12:W13)</f>
        <v>554.1</v>
      </c>
      <c r="X15" s="833">
        <f>SUM(X12:X13)</f>
        <v>0</v>
      </c>
    </row>
    <row r="16" spans="1:24" s="815" customFormat="1" ht="17.25" customHeight="1" x14ac:dyDescent="0.2">
      <c r="A16" s="3565">
        <v>1</v>
      </c>
      <c r="B16" s="3578">
        <v>1</v>
      </c>
      <c r="C16" s="3553">
        <v>2</v>
      </c>
      <c r="D16" s="3537" t="s">
        <v>849</v>
      </c>
      <c r="E16" s="3609" t="s">
        <v>846</v>
      </c>
      <c r="F16" s="3516" t="s">
        <v>847</v>
      </c>
      <c r="G16" s="3516" t="s">
        <v>850</v>
      </c>
      <c r="H16" s="821" t="s">
        <v>34</v>
      </c>
      <c r="I16" s="834">
        <f>SUM(J16,L16)</f>
        <v>255.3</v>
      </c>
      <c r="J16" s="826">
        <v>255.3</v>
      </c>
      <c r="K16" s="826">
        <v>113</v>
      </c>
      <c r="L16" s="827"/>
      <c r="M16" s="826">
        <v>281.10000000000002</v>
      </c>
      <c r="N16" s="826">
        <v>281.10000000000002</v>
      </c>
      <c r="O16" s="826">
        <v>129</v>
      </c>
      <c r="P16" s="827"/>
      <c r="Q16" s="826">
        <v>281.10000000000002</v>
      </c>
      <c r="R16" s="826">
        <v>281.10000000000002</v>
      </c>
      <c r="S16" s="826">
        <v>129</v>
      </c>
      <c r="T16" s="827"/>
      <c r="U16" s="826">
        <v>281.10000000000002</v>
      </c>
      <c r="V16" s="826">
        <v>281.10000000000002</v>
      </c>
      <c r="W16" s="826">
        <v>129</v>
      </c>
      <c r="X16" s="827"/>
    </row>
    <row r="17" spans="1:24" s="815" customFormat="1" ht="18.75" customHeight="1" thickBot="1" x14ac:dyDescent="0.25">
      <c r="A17" s="3577"/>
      <c r="B17" s="3579"/>
      <c r="C17" s="3553"/>
      <c r="D17" s="3537"/>
      <c r="E17" s="3609"/>
      <c r="F17" s="3555"/>
      <c r="G17" s="3555"/>
      <c r="H17" s="835" t="s">
        <v>30</v>
      </c>
      <c r="I17" s="836">
        <f>SUM(J17,L17)</f>
        <v>26.5</v>
      </c>
      <c r="J17" s="826">
        <f>11.5+15</f>
        <v>26.5</v>
      </c>
      <c r="K17" s="826">
        <v>15</v>
      </c>
      <c r="L17" s="827"/>
      <c r="M17" s="826"/>
      <c r="N17" s="826"/>
      <c r="O17" s="826"/>
      <c r="P17" s="827"/>
      <c r="Q17" s="826"/>
      <c r="R17" s="826"/>
      <c r="S17" s="826"/>
      <c r="T17" s="827"/>
      <c r="U17" s="826"/>
      <c r="V17" s="826"/>
      <c r="W17" s="826"/>
      <c r="X17" s="827"/>
    </row>
    <row r="18" spans="1:24" s="815" customFormat="1" ht="22.5" customHeight="1" thickBot="1" x14ac:dyDescent="0.25">
      <c r="A18" s="3547"/>
      <c r="B18" s="3549"/>
      <c r="C18" s="3516"/>
      <c r="D18" s="3536"/>
      <c r="E18" s="3638"/>
      <c r="F18" s="3556" t="s">
        <v>35</v>
      </c>
      <c r="G18" s="3557"/>
      <c r="H18" s="3558"/>
      <c r="I18" s="831">
        <f>SUM(J18,L18)</f>
        <v>281.8</v>
      </c>
      <c r="J18" s="832">
        <f>J16+J17</f>
        <v>281.8</v>
      </c>
      <c r="K18" s="832">
        <f>K16+K17</f>
        <v>128</v>
      </c>
      <c r="L18" s="833">
        <f>SUM(L16:L16)</f>
        <v>0</v>
      </c>
      <c r="M18" s="831">
        <f>SUM(N18,P18)</f>
        <v>281.10000000000002</v>
      </c>
      <c r="N18" s="832">
        <f>N16+N17</f>
        <v>281.10000000000002</v>
      </c>
      <c r="O18" s="832">
        <f>O16+O17</f>
        <v>129</v>
      </c>
      <c r="P18" s="833">
        <f>SUM(P16:P16)</f>
        <v>0</v>
      </c>
      <c r="Q18" s="831">
        <f>SUM(R18,T18)</f>
        <v>281.10000000000002</v>
      </c>
      <c r="R18" s="832">
        <f>R16+R17</f>
        <v>281.10000000000002</v>
      </c>
      <c r="S18" s="832">
        <f>S16+S17</f>
        <v>129</v>
      </c>
      <c r="T18" s="833">
        <f>SUM(T16:T16)</f>
        <v>0</v>
      </c>
      <c r="U18" s="831">
        <f>SUM(V18,X18)</f>
        <v>281.10000000000002</v>
      </c>
      <c r="V18" s="832">
        <f>V16+V17</f>
        <v>281.10000000000002</v>
      </c>
      <c r="W18" s="832">
        <f>W16+W17</f>
        <v>129</v>
      </c>
      <c r="X18" s="833">
        <f>SUM(X16:X16)</f>
        <v>0</v>
      </c>
    </row>
    <row r="19" spans="1:24" s="815" customFormat="1" ht="12" customHeight="1" x14ac:dyDescent="0.2">
      <c r="A19" s="3565">
        <v>1</v>
      </c>
      <c r="B19" s="3578">
        <v>1</v>
      </c>
      <c r="C19" s="3555">
        <v>3</v>
      </c>
      <c r="D19" s="3580" t="s">
        <v>851</v>
      </c>
      <c r="E19" s="3641" t="s">
        <v>852</v>
      </c>
      <c r="F19" s="3516" t="s">
        <v>847</v>
      </c>
      <c r="G19" s="3516" t="s">
        <v>853</v>
      </c>
      <c r="H19" s="837" t="s">
        <v>30</v>
      </c>
      <c r="I19" s="834">
        <f>SUM(J19,L19)</f>
        <v>213.9</v>
      </c>
      <c r="J19" s="2182">
        <f>215.6-1.7</f>
        <v>213.9</v>
      </c>
      <c r="K19" s="2182">
        <v>174.8</v>
      </c>
      <c r="L19" s="2183"/>
      <c r="M19" s="2181">
        <f>SUM(N19,P19)</f>
        <v>244.7</v>
      </c>
      <c r="N19" s="2054">
        <f>246.7-2</f>
        <v>244.7</v>
      </c>
      <c r="O19" s="2182">
        <v>198.5</v>
      </c>
      <c r="P19" s="838"/>
      <c r="Q19" s="2182">
        <v>248.2</v>
      </c>
      <c r="R19" s="2182">
        <v>248.2</v>
      </c>
      <c r="S19" s="2182">
        <v>200</v>
      </c>
      <c r="T19" s="838"/>
      <c r="U19" s="2182">
        <v>248.2</v>
      </c>
      <c r="V19" s="2182">
        <v>248.2</v>
      </c>
      <c r="W19" s="2182">
        <v>200</v>
      </c>
      <c r="X19" s="838"/>
    </row>
    <row r="20" spans="1:24" s="815" customFormat="1" ht="12" customHeight="1" x14ac:dyDescent="0.2">
      <c r="A20" s="3577"/>
      <c r="B20" s="3579"/>
      <c r="C20" s="3553"/>
      <c r="D20" s="3537"/>
      <c r="E20" s="3609"/>
      <c r="F20" s="3551"/>
      <c r="G20" s="3551"/>
      <c r="H20" s="839" t="s">
        <v>34</v>
      </c>
      <c r="I20" s="840">
        <v>0.8</v>
      </c>
      <c r="J20" s="826">
        <v>0.8</v>
      </c>
      <c r="K20" s="826"/>
      <c r="L20" s="827">
        <v>0</v>
      </c>
      <c r="M20" s="825">
        <v>0.8</v>
      </c>
      <c r="N20" s="826">
        <v>0.8</v>
      </c>
      <c r="O20" s="826"/>
      <c r="P20" s="841">
        <v>0</v>
      </c>
      <c r="Q20" s="822">
        <v>0.8</v>
      </c>
      <c r="R20" s="826">
        <v>0.8</v>
      </c>
      <c r="S20" s="826"/>
      <c r="T20" s="841">
        <v>0</v>
      </c>
      <c r="U20" s="822">
        <v>0.8</v>
      </c>
      <c r="V20" s="826">
        <v>0.8</v>
      </c>
      <c r="W20" s="826"/>
      <c r="X20" s="841">
        <v>0</v>
      </c>
    </row>
    <row r="21" spans="1:24" s="815" customFormat="1" ht="12" customHeight="1" thickBot="1" x14ac:dyDescent="0.25">
      <c r="A21" s="3577"/>
      <c r="B21" s="3579"/>
      <c r="C21" s="3553"/>
      <c r="D21" s="3537"/>
      <c r="E21" s="3609"/>
      <c r="F21" s="3555"/>
      <c r="G21" s="3555"/>
      <c r="H21" s="842" t="s">
        <v>33</v>
      </c>
      <c r="I21" s="843">
        <f>J21</f>
        <v>1.8</v>
      </c>
      <c r="J21" s="843">
        <v>1.8</v>
      </c>
      <c r="K21" s="843">
        <v>1.7</v>
      </c>
      <c r="L21" s="844"/>
      <c r="M21" s="828">
        <v>1.5</v>
      </c>
      <c r="N21" s="843">
        <v>1.5</v>
      </c>
      <c r="O21" s="843">
        <v>1.5</v>
      </c>
      <c r="P21" s="845"/>
      <c r="Q21" s="843"/>
      <c r="R21" s="843"/>
      <c r="S21" s="843"/>
      <c r="T21" s="845"/>
      <c r="U21" s="843"/>
      <c r="V21" s="843"/>
      <c r="W21" s="843"/>
      <c r="X21" s="845"/>
    </row>
    <row r="22" spans="1:24" s="815" customFormat="1" ht="12" customHeight="1" thickBot="1" x14ac:dyDescent="0.25">
      <c r="A22" s="3577"/>
      <c r="B22" s="3579"/>
      <c r="C22" s="3553"/>
      <c r="D22" s="3537"/>
      <c r="E22" s="3609"/>
      <c r="F22" s="3556" t="s">
        <v>35</v>
      </c>
      <c r="G22" s="3557"/>
      <c r="H22" s="3558"/>
      <c r="I22" s="832">
        <f>J22</f>
        <v>216.50000000000003</v>
      </c>
      <c r="J22" s="832">
        <f>SUM(J19:J21)</f>
        <v>216.50000000000003</v>
      </c>
      <c r="K22" s="832">
        <f t="shared" ref="K22:L22" si="1">SUM(K19:K21)</f>
        <v>176.5</v>
      </c>
      <c r="L22" s="832">
        <f t="shared" si="1"/>
        <v>0</v>
      </c>
      <c r="M22" s="831">
        <f>M20+M19+M21</f>
        <v>247</v>
      </c>
      <c r="N22" s="831">
        <f t="shared" ref="N22:O22" si="2">N20+N19+N21</f>
        <v>247</v>
      </c>
      <c r="O22" s="831">
        <f t="shared" si="2"/>
        <v>200</v>
      </c>
      <c r="P22" s="833">
        <f>P19</f>
        <v>0</v>
      </c>
      <c r="Q22" s="831">
        <f>Q20+Q19</f>
        <v>249</v>
      </c>
      <c r="R22" s="832">
        <f>SUM(R19:R20)</f>
        <v>249</v>
      </c>
      <c r="S22" s="832">
        <f>SUM(S19:S20)</f>
        <v>200</v>
      </c>
      <c r="T22" s="833">
        <f>T19</f>
        <v>0</v>
      </c>
      <c r="U22" s="831">
        <f>U20+U19</f>
        <v>249</v>
      </c>
      <c r="V22" s="832">
        <f>SUM(V19:V20)</f>
        <v>249</v>
      </c>
      <c r="W22" s="832">
        <f>SUM(W19:W20)</f>
        <v>200</v>
      </c>
      <c r="X22" s="833">
        <f>X19</f>
        <v>0</v>
      </c>
    </row>
    <row r="23" spans="1:24" s="815" customFormat="1" ht="12" customHeight="1" x14ac:dyDescent="0.2">
      <c r="A23" s="3565">
        <v>1</v>
      </c>
      <c r="B23" s="3578">
        <v>1</v>
      </c>
      <c r="C23" s="3555">
        <v>4</v>
      </c>
      <c r="D23" s="3580" t="s">
        <v>854</v>
      </c>
      <c r="E23" s="3641" t="s">
        <v>855</v>
      </c>
      <c r="F23" s="3516" t="s">
        <v>847</v>
      </c>
      <c r="G23" s="3516" t="s">
        <v>856</v>
      </c>
      <c r="H23" s="837" t="s">
        <v>30</v>
      </c>
      <c r="I23" s="834">
        <f>SUM(J23,L23)</f>
        <v>268.60000000000002</v>
      </c>
      <c r="J23" s="2182">
        <f>270.6-2</f>
        <v>268.60000000000002</v>
      </c>
      <c r="K23" s="2182">
        <v>208.9</v>
      </c>
      <c r="L23" s="2183"/>
      <c r="M23" s="2181">
        <f>SUM(N23,P23)</f>
        <v>302.39999999999998</v>
      </c>
      <c r="N23" s="2054">
        <f>308.4-6</f>
        <v>302.39999999999998</v>
      </c>
      <c r="O23" s="2182">
        <v>233.7</v>
      </c>
      <c r="P23" s="838"/>
      <c r="Q23" s="2182">
        <v>310.89999999999998</v>
      </c>
      <c r="R23" s="2182">
        <v>310.89999999999998</v>
      </c>
      <c r="S23" s="2182">
        <v>235.2</v>
      </c>
      <c r="T23" s="838"/>
      <c r="U23" s="2182">
        <v>310.89999999999998</v>
      </c>
      <c r="V23" s="2182">
        <v>310.89999999999998</v>
      </c>
      <c r="W23" s="2182">
        <v>235.2</v>
      </c>
      <c r="X23" s="838"/>
    </row>
    <row r="24" spans="1:24" s="815" customFormat="1" ht="12" customHeight="1" x14ac:dyDescent="0.2">
      <c r="A24" s="3577"/>
      <c r="B24" s="3579"/>
      <c r="C24" s="3553"/>
      <c r="D24" s="3537"/>
      <c r="E24" s="3609"/>
      <c r="F24" s="3551"/>
      <c r="G24" s="3551"/>
      <c r="H24" s="839" t="s">
        <v>34</v>
      </c>
      <c r="I24" s="840">
        <f>J24+L24</f>
        <v>5</v>
      </c>
      <c r="J24" s="826">
        <v>5</v>
      </c>
      <c r="K24" s="826">
        <v>0</v>
      </c>
      <c r="L24" s="827">
        <v>0</v>
      </c>
      <c r="M24" s="825">
        <v>5</v>
      </c>
      <c r="N24" s="826">
        <v>5</v>
      </c>
      <c r="O24" s="826">
        <v>0</v>
      </c>
      <c r="P24" s="841">
        <v>0</v>
      </c>
      <c r="Q24" s="824">
        <f>R24+T24</f>
        <v>5</v>
      </c>
      <c r="R24" s="826">
        <v>5</v>
      </c>
      <c r="S24" s="826">
        <v>0</v>
      </c>
      <c r="T24" s="841">
        <v>0</v>
      </c>
      <c r="U24" s="824">
        <v>5</v>
      </c>
      <c r="V24" s="826">
        <v>5</v>
      </c>
      <c r="W24" s="826"/>
      <c r="X24" s="841">
        <v>0</v>
      </c>
    </row>
    <row r="25" spans="1:24" s="815" customFormat="1" ht="12" customHeight="1" thickBot="1" x14ac:dyDescent="0.25">
      <c r="A25" s="3577"/>
      <c r="B25" s="3579"/>
      <c r="C25" s="3553"/>
      <c r="D25" s="3537"/>
      <c r="E25" s="3609"/>
      <c r="F25" s="3555"/>
      <c r="G25" s="3555"/>
      <c r="H25" s="842" t="s">
        <v>33</v>
      </c>
      <c r="I25" s="843">
        <f>J25</f>
        <v>1.6</v>
      </c>
      <c r="J25" s="843">
        <v>1.6</v>
      </c>
      <c r="K25" s="843">
        <v>1.5</v>
      </c>
      <c r="L25" s="844"/>
      <c r="M25" s="828">
        <v>3</v>
      </c>
      <c r="N25" s="843">
        <v>1.5</v>
      </c>
      <c r="O25" s="843">
        <v>1.5</v>
      </c>
      <c r="P25" s="845"/>
      <c r="Q25" s="846"/>
      <c r="R25" s="843"/>
      <c r="S25" s="843"/>
      <c r="T25" s="845"/>
      <c r="U25" s="846"/>
      <c r="V25" s="843"/>
      <c r="W25" s="843"/>
      <c r="X25" s="845"/>
    </row>
    <row r="26" spans="1:24" s="815" customFormat="1" ht="12" customHeight="1" thickBot="1" x14ac:dyDescent="0.25">
      <c r="A26" s="3577"/>
      <c r="B26" s="3579"/>
      <c r="C26" s="3553"/>
      <c r="D26" s="3537"/>
      <c r="E26" s="3609"/>
      <c r="F26" s="3556" t="s">
        <v>35</v>
      </c>
      <c r="G26" s="3557"/>
      <c r="H26" s="3558"/>
      <c r="I26" s="831">
        <f>SUM(J26,L26)</f>
        <v>275.20000000000005</v>
      </c>
      <c r="J26" s="832">
        <f>SUM(J23:J25)</f>
        <v>275.20000000000005</v>
      </c>
      <c r="K26" s="832">
        <f>SUM(K23:K25)</f>
        <v>210.4</v>
      </c>
      <c r="L26" s="832">
        <f t="shared" ref="L26" si="3">SUM(L23:L25)</f>
        <v>0</v>
      </c>
      <c r="M26" s="831">
        <f>SUM(N26,P26)</f>
        <v>308.89999999999998</v>
      </c>
      <c r="N26" s="832">
        <f>SUM(N23:N25)</f>
        <v>308.89999999999998</v>
      </c>
      <c r="O26" s="832">
        <f>SUM(O23:O25)</f>
        <v>235.2</v>
      </c>
      <c r="P26" s="833">
        <f>SUM(P23:P24)</f>
        <v>0</v>
      </c>
      <c r="Q26" s="831">
        <f>SUM(R26,T26)</f>
        <v>315.89999999999998</v>
      </c>
      <c r="R26" s="832">
        <f>SUM(R23:R24)</f>
        <v>315.89999999999998</v>
      </c>
      <c r="S26" s="832">
        <f>SUM(S23:S24)</f>
        <v>235.2</v>
      </c>
      <c r="T26" s="833">
        <f>SUM(T23:T24)</f>
        <v>0</v>
      </c>
      <c r="U26" s="831">
        <f>SUM(V26,X26)</f>
        <v>315.89999999999998</v>
      </c>
      <c r="V26" s="832">
        <f>SUM(V23:V24)</f>
        <v>315.89999999999998</v>
      </c>
      <c r="W26" s="832">
        <f>SUM(W23:W24)</f>
        <v>235.2</v>
      </c>
      <c r="X26" s="833">
        <f>SUM(X23:X24)</f>
        <v>0</v>
      </c>
    </row>
    <row r="27" spans="1:24" s="815" customFormat="1" ht="12" customHeight="1" x14ac:dyDescent="0.2">
      <c r="A27" s="3565">
        <v>1</v>
      </c>
      <c r="B27" s="3578">
        <v>1</v>
      </c>
      <c r="C27" s="3555">
        <v>5</v>
      </c>
      <c r="D27" s="3580" t="s">
        <v>857</v>
      </c>
      <c r="E27" s="3641" t="s">
        <v>858</v>
      </c>
      <c r="F27" s="3516" t="s">
        <v>847</v>
      </c>
      <c r="G27" s="3516" t="s">
        <v>859</v>
      </c>
      <c r="H27" s="847" t="s">
        <v>30</v>
      </c>
      <c r="I27" s="2181">
        <f>SUM(J27,L27)</f>
        <v>315</v>
      </c>
      <c r="J27" s="2182">
        <f>317.6-2.6-1.4</f>
        <v>313.60000000000002</v>
      </c>
      <c r="K27" s="2182">
        <v>258.2</v>
      </c>
      <c r="L27" s="848">
        <v>1.4</v>
      </c>
      <c r="M27" s="2181">
        <f>SUM(N27,P27)</f>
        <v>370.6</v>
      </c>
      <c r="N27" s="2054">
        <f>372.6-2</f>
        <v>370.6</v>
      </c>
      <c r="O27" s="2182">
        <v>308.5</v>
      </c>
      <c r="P27" s="838"/>
      <c r="Q27" s="2182">
        <v>376.2</v>
      </c>
      <c r="R27" s="2182">
        <v>376.2</v>
      </c>
      <c r="S27" s="2182">
        <v>310</v>
      </c>
      <c r="T27" s="838"/>
      <c r="U27" s="2182">
        <v>376.2</v>
      </c>
      <c r="V27" s="2182">
        <v>376.2</v>
      </c>
      <c r="W27" s="2182">
        <v>310</v>
      </c>
      <c r="X27" s="838"/>
    </row>
    <row r="28" spans="1:24" s="815" customFormat="1" ht="12" customHeight="1" x14ac:dyDescent="0.2">
      <c r="A28" s="3577"/>
      <c r="B28" s="3579"/>
      <c r="C28" s="3553"/>
      <c r="D28" s="3537"/>
      <c r="E28" s="3609"/>
      <c r="F28" s="3551"/>
      <c r="G28" s="3551"/>
      <c r="H28" s="849" t="s">
        <v>34</v>
      </c>
      <c r="I28" s="824">
        <f>J28+L28</f>
        <v>15</v>
      </c>
      <c r="J28" s="826">
        <f>4+7.1</f>
        <v>11.1</v>
      </c>
      <c r="K28" s="826">
        <v>0</v>
      </c>
      <c r="L28" s="841">
        <v>3.9</v>
      </c>
      <c r="M28" s="824">
        <v>15</v>
      </c>
      <c r="N28" s="826">
        <v>15</v>
      </c>
      <c r="O28" s="826">
        <v>0</v>
      </c>
      <c r="P28" s="841">
        <v>0</v>
      </c>
      <c r="Q28" s="824">
        <v>15</v>
      </c>
      <c r="R28" s="826">
        <v>15</v>
      </c>
      <c r="S28" s="826">
        <v>0</v>
      </c>
      <c r="T28" s="841">
        <v>0</v>
      </c>
      <c r="U28" s="824">
        <v>15</v>
      </c>
      <c r="V28" s="826">
        <v>15</v>
      </c>
      <c r="W28" s="826"/>
      <c r="X28" s="841">
        <v>0</v>
      </c>
    </row>
    <row r="29" spans="1:24" s="815" customFormat="1" ht="12" customHeight="1" thickBot="1" x14ac:dyDescent="0.25">
      <c r="A29" s="3577"/>
      <c r="B29" s="3579"/>
      <c r="C29" s="3553"/>
      <c r="D29" s="3537"/>
      <c r="E29" s="3609"/>
      <c r="F29" s="3555"/>
      <c r="G29" s="3555"/>
      <c r="H29" s="850" t="s">
        <v>33</v>
      </c>
      <c r="I29" s="846">
        <f>J29</f>
        <v>3.6</v>
      </c>
      <c r="J29" s="843">
        <v>3.6</v>
      </c>
      <c r="K29" s="843">
        <v>3.5</v>
      </c>
      <c r="L29" s="845"/>
      <c r="M29" s="846">
        <v>1.5</v>
      </c>
      <c r="N29" s="843">
        <v>1.5</v>
      </c>
      <c r="O29" s="843">
        <v>1.5</v>
      </c>
      <c r="P29" s="845"/>
      <c r="Q29" s="846"/>
      <c r="R29" s="843"/>
      <c r="S29" s="843"/>
      <c r="T29" s="845"/>
      <c r="U29" s="846"/>
      <c r="V29" s="843"/>
      <c r="W29" s="843"/>
      <c r="X29" s="845"/>
    </row>
    <row r="30" spans="1:24" s="815" customFormat="1" ht="18" customHeight="1" thickBot="1" x14ac:dyDescent="0.25">
      <c r="A30" s="3577"/>
      <c r="B30" s="3579"/>
      <c r="C30" s="3553"/>
      <c r="D30" s="3537"/>
      <c r="E30" s="3609"/>
      <c r="F30" s="3556" t="s">
        <v>35</v>
      </c>
      <c r="G30" s="3557"/>
      <c r="H30" s="3558"/>
      <c r="I30" s="831">
        <f>SUM(J30,L30)</f>
        <v>333.60000000000008</v>
      </c>
      <c r="J30" s="832">
        <f>SUM(J27:J29)</f>
        <v>328.30000000000007</v>
      </c>
      <c r="K30" s="832">
        <f t="shared" ref="K30:L30" si="4">SUM(K27:K29)</f>
        <v>261.7</v>
      </c>
      <c r="L30" s="832">
        <f t="shared" si="4"/>
        <v>5.3</v>
      </c>
      <c r="M30" s="831">
        <f>SUM(N30,P30)</f>
        <v>387.1</v>
      </c>
      <c r="N30" s="832">
        <f>SUM(N27:N29)</f>
        <v>387.1</v>
      </c>
      <c r="O30" s="832">
        <f>SUM(O27:O29)</f>
        <v>310</v>
      </c>
      <c r="P30" s="833">
        <f>SUM(P27:P28)</f>
        <v>0</v>
      </c>
      <c r="Q30" s="831">
        <f>SUM(R30,T30)</f>
        <v>391.2</v>
      </c>
      <c r="R30" s="832">
        <f>SUM(R27:R28)</f>
        <v>391.2</v>
      </c>
      <c r="S30" s="832">
        <f>SUM(S27:S28)</f>
        <v>310</v>
      </c>
      <c r="T30" s="833">
        <f>SUM(T27:T28)</f>
        <v>0</v>
      </c>
      <c r="U30" s="831">
        <f>SUM(V30,X30)</f>
        <v>391.2</v>
      </c>
      <c r="V30" s="832">
        <f>SUM(V27:V28)</f>
        <v>391.2</v>
      </c>
      <c r="W30" s="832">
        <f>SUM(W27:W28)</f>
        <v>310</v>
      </c>
      <c r="X30" s="833">
        <f>SUM(X27:X28)</f>
        <v>0</v>
      </c>
    </row>
    <row r="31" spans="1:24" s="815" customFormat="1" ht="12" customHeight="1" x14ac:dyDescent="0.2">
      <c r="A31" s="3565">
        <v>1</v>
      </c>
      <c r="B31" s="3578">
        <v>1</v>
      </c>
      <c r="C31" s="3555">
        <v>6</v>
      </c>
      <c r="D31" s="3580" t="s">
        <v>860</v>
      </c>
      <c r="E31" s="3641" t="s">
        <v>861</v>
      </c>
      <c r="F31" s="3516" t="s">
        <v>847</v>
      </c>
      <c r="G31" s="3516" t="s">
        <v>862</v>
      </c>
      <c r="H31" s="837" t="s">
        <v>30</v>
      </c>
      <c r="I31" s="834">
        <f>J31+L31</f>
        <v>204.20000000000002</v>
      </c>
      <c r="J31" s="2182">
        <f>201.9+1.3</f>
        <v>203.20000000000002</v>
      </c>
      <c r="K31" s="2182">
        <v>156.69999999999999</v>
      </c>
      <c r="L31" s="838">
        <v>1</v>
      </c>
      <c r="M31" s="2182">
        <v>254.1</v>
      </c>
      <c r="N31" s="2182">
        <v>254.1</v>
      </c>
      <c r="O31" s="2182">
        <v>197</v>
      </c>
      <c r="P31" s="838"/>
      <c r="Q31" s="2182">
        <v>264.60000000000002</v>
      </c>
      <c r="R31" s="2182">
        <v>264.60000000000002</v>
      </c>
      <c r="S31" s="2182">
        <v>198.5</v>
      </c>
      <c r="T31" s="838"/>
      <c r="U31" s="2182">
        <v>264.60000000000002</v>
      </c>
      <c r="V31" s="2182">
        <v>264.60000000000002</v>
      </c>
      <c r="W31" s="2182">
        <v>198.5</v>
      </c>
      <c r="X31" s="838"/>
    </row>
    <row r="32" spans="1:24" s="815" customFormat="1" ht="12" customHeight="1" x14ac:dyDescent="0.2">
      <c r="A32" s="3577"/>
      <c r="B32" s="3579"/>
      <c r="C32" s="3553"/>
      <c r="D32" s="3537"/>
      <c r="E32" s="3609"/>
      <c r="F32" s="3551"/>
      <c r="G32" s="3551"/>
      <c r="H32" s="839" t="s">
        <v>34</v>
      </c>
      <c r="I32" s="836">
        <v>1.7</v>
      </c>
      <c r="J32" s="826">
        <v>1.7</v>
      </c>
      <c r="K32" s="826">
        <v>0</v>
      </c>
      <c r="L32" s="841">
        <v>0</v>
      </c>
      <c r="M32" s="826">
        <v>5</v>
      </c>
      <c r="N32" s="826">
        <v>1.2</v>
      </c>
      <c r="O32" s="826">
        <v>0</v>
      </c>
      <c r="P32" s="841">
        <v>3.8</v>
      </c>
      <c r="Q32" s="826">
        <v>1.7</v>
      </c>
      <c r="R32" s="826">
        <v>1.7</v>
      </c>
      <c r="S32" s="826">
        <v>0</v>
      </c>
      <c r="T32" s="841">
        <v>0</v>
      </c>
      <c r="U32" s="826">
        <v>1.7</v>
      </c>
      <c r="V32" s="826">
        <v>1.7</v>
      </c>
      <c r="W32" s="826"/>
      <c r="X32" s="841">
        <v>0</v>
      </c>
    </row>
    <row r="33" spans="1:24" s="815" customFormat="1" ht="12" customHeight="1" thickBot="1" x14ac:dyDescent="0.25">
      <c r="A33" s="3577"/>
      <c r="B33" s="3579"/>
      <c r="C33" s="3553"/>
      <c r="D33" s="3537"/>
      <c r="E33" s="3609"/>
      <c r="F33" s="3555"/>
      <c r="G33" s="3555"/>
      <c r="H33" s="842" t="s">
        <v>33</v>
      </c>
      <c r="I33" s="843">
        <f>J33</f>
        <v>1.3</v>
      </c>
      <c r="J33" s="843">
        <v>1.3</v>
      </c>
      <c r="K33" s="843">
        <v>1.2</v>
      </c>
      <c r="L33" s="845"/>
      <c r="M33" s="843">
        <v>1.5</v>
      </c>
      <c r="N33" s="843">
        <v>1.5</v>
      </c>
      <c r="O33" s="843">
        <v>1.5</v>
      </c>
      <c r="P33" s="845"/>
      <c r="Q33" s="843"/>
      <c r="R33" s="843"/>
      <c r="S33" s="843"/>
      <c r="T33" s="845"/>
      <c r="U33" s="843"/>
      <c r="V33" s="843"/>
      <c r="W33" s="843"/>
      <c r="X33" s="845"/>
    </row>
    <row r="34" spans="1:24" s="815" customFormat="1" ht="19.5" customHeight="1" thickBot="1" x14ac:dyDescent="0.25">
      <c r="A34" s="3577"/>
      <c r="B34" s="3579"/>
      <c r="C34" s="3553"/>
      <c r="D34" s="3537"/>
      <c r="E34" s="3609"/>
      <c r="F34" s="3556" t="s">
        <v>35</v>
      </c>
      <c r="G34" s="3557"/>
      <c r="H34" s="3558"/>
      <c r="I34" s="851">
        <f>SUM(J34,L34)</f>
        <v>207.20000000000002</v>
      </c>
      <c r="J34" s="852">
        <f>SUM(J31:J33)</f>
        <v>206.20000000000002</v>
      </c>
      <c r="K34" s="852">
        <f t="shared" ref="K34:L34" si="5">SUM(K31:K33)</f>
        <v>157.89999999999998</v>
      </c>
      <c r="L34" s="852">
        <f t="shared" si="5"/>
        <v>1</v>
      </c>
      <c r="M34" s="851">
        <f>SUM(N34,P34)</f>
        <v>260.59999999999997</v>
      </c>
      <c r="N34" s="852">
        <f>SUM(N31:N33)</f>
        <v>256.79999999999995</v>
      </c>
      <c r="O34" s="852">
        <f>SUM(O31:O33)</f>
        <v>198.5</v>
      </c>
      <c r="P34" s="853">
        <f>SUM(P31:P32)</f>
        <v>3.8</v>
      </c>
      <c r="Q34" s="851">
        <f>SUM(R34,T34)</f>
        <v>266.3</v>
      </c>
      <c r="R34" s="852">
        <f>SUM(R31:R32)</f>
        <v>266.3</v>
      </c>
      <c r="S34" s="852">
        <f>SUM(S31:S32)</f>
        <v>198.5</v>
      </c>
      <c r="T34" s="853">
        <f>SUM(T31:T32)</f>
        <v>0</v>
      </c>
      <c r="U34" s="851">
        <f>SUM(V34,X34)</f>
        <v>266.3</v>
      </c>
      <c r="V34" s="852">
        <f>SUM(V31:V32)</f>
        <v>266.3</v>
      </c>
      <c r="W34" s="852">
        <f>SUM(W31:W32)</f>
        <v>198.5</v>
      </c>
      <c r="X34" s="853">
        <f>SUM(X31:X32)</f>
        <v>0</v>
      </c>
    </row>
    <row r="35" spans="1:24" s="815" customFormat="1" ht="12" customHeight="1" x14ac:dyDescent="0.2">
      <c r="A35" s="3565">
        <v>1</v>
      </c>
      <c r="B35" s="3578">
        <v>1</v>
      </c>
      <c r="C35" s="3555">
        <v>7</v>
      </c>
      <c r="D35" s="3580" t="s">
        <v>863</v>
      </c>
      <c r="E35" s="3641" t="s">
        <v>864</v>
      </c>
      <c r="F35" s="3516" t="s">
        <v>847</v>
      </c>
      <c r="G35" s="3516" t="s">
        <v>865</v>
      </c>
      <c r="H35" s="2189" t="s">
        <v>30</v>
      </c>
      <c r="I35" s="2181">
        <f>SUM(J35,L35)</f>
        <v>177.8</v>
      </c>
      <c r="J35" s="2182">
        <f>178.3-0.5</f>
        <v>177.8</v>
      </c>
      <c r="K35" s="2182">
        <v>142.80000000000001</v>
      </c>
      <c r="L35" s="2183"/>
      <c r="M35" s="2181">
        <v>232.7</v>
      </c>
      <c r="N35" s="2182">
        <v>232.7</v>
      </c>
      <c r="O35" s="2182">
        <v>186.5</v>
      </c>
      <c r="P35" s="2183"/>
      <c r="Q35" s="2181">
        <v>239.2</v>
      </c>
      <c r="R35" s="2182">
        <v>239.2</v>
      </c>
      <c r="S35" s="2182">
        <v>188</v>
      </c>
      <c r="T35" s="2183"/>
      <c r="U35" s="2181">
        <v>239.2</v>
      </c>
      <c r="V35" s="2182">
        <v>239.2</v>
      </c>
      <c r="W35" s="2182">
        <v>188</v>
      </c>
      <c r="X35" s="2183"/>
    </row>
    <row r="36" spans="1:24" s="815" customFormat="1" ht="12" customHeight="1" x14ac:dyDescent="0.2">
      <c r="A36" s="3577"/>
      <c r="B36" s="3579"/>
      <c r="C36" s="3553"/>
      <c r="D36" s="3537"/>
      <c r="E36" s="3609"/>
      <c r="F36" s="3551"/>
      <c r="G36" s="3551"/>
      <c r="H36" s="849" t="s">
        <v>34</v>
      </c>
      <c r="I36" s="825">
        <v>1.5</v>
      </c>
      <c r="J36" s="826">
        <v>1.5</v>
      </c>
      <c r="K36" s="826">
        <v>0.5</v>
      </c>
      <c r="L36" s="827"/>
      <c r="M36" s="825">
        <v>2</v>
      </c>
      <c r="N36" s="826">
        <v>2</v>
      </c>
      <c r="O36" s="826"/>
      <c r="P36" s="827">
        <v>0</v>
      </c>
      <c r="Q36" s="825">
        <v>2</v>
      </c>
      <c r="R36" s="826">
        <v>2</v>
      </c>
      <c r="S36" s="826"/>
      <c r="T36" s="827">
        <v>0</v>
      </c>
      <c r="U36" s="825">
        <v>2</v>
      </c>
      <c r="V36" s="826">
        <v>2</v>
      </c>
      <c r="W36" s="826"/>
      <c r="X36" s="827"/>
    </row>
    <row r="37" spans="1:24" s="815" customFormat="1" ht="12" customHeight="1" thickBot="1" x14ac:dyDescent="0.25">
      <c r="A37" s="3577"/>
      <c r="B37" s="3579"/>
      <c r="C37" s="3553"/>
      <c r="D37" s="3537"/>
      <c r="E37" s="3609"/>
      <c r="F37" s="3555"/>
      <c r="G37" s="3555"/>
      <c r="H37" s="850" t="s">
        <v>33</v>
      </c>
      <c r="I37" s="854">
        <f>J37</f>
        <v>1.3</v>
      </c>
      <c r="J37" s="855">
        <v>1.3</v>
      </c>
      <c r="K37" s="855">
        <v>1.2</v>
      </c>
      <c r="L37" s="856"/>
      <c r="M37" s="854">
        <v>1.5</v>
      </c>
      <c r="N37" s="855">
        <v>1.5</v>
      </c>
      <c r="O37" s="855">
        <v>1.5</v>
      </c>
      <c r="P37" s="856"/>
      <c r="Q37" s="854"/>
      <c r="R37" s="855"/>
      <c r="S37" s="855"/>
      <c r="T37" s="856"/>
      <c r="U37" s="854"/>
      <c r="V37" s="855"/>
      <c r="W37" s="855"/>
      <c r="X37" s="856"/>
    </row>
    <row r="38" spans="1:24" s="815" customFormat="1" ht="27.75" customHeight="1" thickBot="1" x14ac:dyDescent="0.25">
      <c r="A38" s="3577"/>
      <c r="B38" s="3579"/>
      <c r="C38" s="3553"/>
      <c r="D38" s="3537"/>
      <c r="E38" s="3609"/>
      <c r="F38" s="3556" t="s">
        <v>35</v>
      </c>
      <c r="G38" s="3557"/>
      <c r="H38" s="3558"/>
      <c r="I38" s="857">
        <f>SUM(J38,L38)</f>
        <v>180.60000000000002</v>
      </c>
      <c r="J38" s="858">
        <f>SUM(J35:J37)</f>
        <v>180.60000000000002</v>
      </c>
      <c r="K38" s="858">
        <f t="shared" ref="K38:L38" si="6">SUM(K35:K37)</f>
        <v>144.5</v>
      </c>
      <c r="L38" s="858">
        <f t="shared" si="6"/>
        <v>0</v>
      </c>
      <c r="M38" s="857">
        <f>SUM(N38,P38)</f>
        <v>236.2</v>
      </c>
      <c r="N38" s="858">
        <f>SUM(N35:N37)</f>
        <v>236.2</v>
      </c>
      <c r="O38" s="858">
        <f>SUM(O35:O37)</f>
        <v>188</v>
      </c>
      <c r="P38" s="859">
        <f>SUM(P35:P36)</f>
        <v>0</v>
      </c>
      <c r="Q38" s="857">
        <f>SUM(R38,T38)</f>
        <v>241.2</v>
      </c>
      <c r="R38" s="858">
        <f>SUM(R35:R36)</f>
        <v>241.2</v>
      </c>
      <c r="S38" s="858">
        <f>SUM(S35:S36)</f>
        <v>188</v>
      </c>
      <c r="T38" s="859">
        <f>SUM(T35:T36)</f>
        <v>0</v>
      </c>
      <c r="U38" s="857">
        <f>SUM(V38,X38)</f>
        <v>241.2</v>
      </c>
      <c r="V38" s="858">
        <f>SUM(V35:V36)</f>
        <v>241.2</v>
      </c>
      <c r="W38" s="858">
        <f>SUM(W35:W36)</f>
        <v>188</v>
      </c>
      <c r="X38" s="859">
        <f>SUM(X35:X36)</f>
        <v>0</v>
      </c>
    </row>
    <row r="39" spans="1:24" s="815" customFormat="1" ht="12" customHeight="1" x14ac:dyDescent="0.2">
      <c r="A39" s="3565">
        <v>1</v>
      </c>
      <c r="B39" s="3578">
        <v>1</v>
      </c>
      <c r="C39" s="3555">
        <v>8</v>
      </c>
      <c r="D39" s="3639" t="s">
        <v>866</v>
      </c>
      <c r="E39" s="3641" t="s">
        <v>867</v>
      </c>
      <c r="F39" s="3516" t="s">
        <v>868</v>
      </c>
      <c r="G39" s="3516" t="s">
        <v>869</v>
      </c>
      <c r="H39" s="847" t="s">
        <v>30</v>
      </c>
      <c r="I39" s="2181">
        <f>SUM(J39,L39)</f>
        <v>1049.8</v>
      </c>
      <c r="J39" s="2182">
        <f>952.4-3.5+0.9</f>
        <v>949.8</v>
      </c>
      <c r="K39" s="2182">
        <v>850.3</v>
      </c>
      <c r="L39" s="2183">
        <f>40+60</f>
        <v>100</v>
      </c>
      <c r="M39" s="2182">
        <v>1161.4000000000001</v>
      </c>
      <c r="N39" s="2054">
        <v>1161.4000000000001</v>
      </c>
      <c r="O39" s="2182">
        <v>1043.8</v>
      </c>
      <c r="P39" s="2183"/>
      <c r="Q39" s="2182">
        <v>1173.4000000000001</v>
      </c>
      <c r="R39" s="2182">
        <v>1173.4000000000001</v>
      </c>
      <c r="S39" s="2182">
        <v>1055.8</v>
      </c>
      <c r="T39" s="2183"/>
      <c r="U39" s="2182">
        <v>1173.4000000000001</v>
      </c>
      <c r="V39" s="2182">
        <v>1173.4000000000001</v>
      </c>
      <c r="W39" s="2182">
        <v>1055.8</v>
      </c>
      <c r="X39" s="2183"/>
    </row>
    <row r="40" spans="1:24" s="815" customFormat="1" ht="12" customHeight="1" x14ac:dyDescent="0.2">
      <c r="A40" s="3577"/>
      <c r="B40" s="3579"/>
      <c r="C40" s="3553"/>
      <c r="D40" s="3608"/>
      <c r="E40" s="3609"/>
      <c r="F40" s="3551"/>
      <c r="G40" s="3551"/>
      <c r="H40" s="849" t="s">
        <v>509</v>
      </c>
      <c r="I40" s="824">
        <f>J40+L40</f>
        <v>0</v>
      </c>
      <c r="J40" s="822"/>
      <c r="K40" s="822"/>
      <c r="L40" s="823"/>
      <c r="M40" s="824">
        <f>N40+P40</f>
        <v>0</v>
      </c>
      <c r="N40" s="822"/>
      <c r="O40" s="822"/>
      <c r="P40" s="823"/>
      <c r="Q40" s="824">
        <f>R40+T40</f>
        <v>0</v>
      </c>
      <c r="R40" s="822"/>
      <c r="S40" s="822"/>
      <c r="T40" s="823"/>
      <c r="U40" s="824"/>
      <c r="V40" s="822"/>
      <c r="W40" s="822"/>
      <c r="X40" s="823"/>
    </row>
    <row r="41" spans="1:24" s="815" customFormat="1" ht="12" customHeight="1" x14ac:dyDescent="0.2">
      <c r="A41" s="3577"/>
      <c r="B41" s="3579"/>
      <c r="C41" s="3553"/>
      <c r="D41" s="3608"/>
      <c r="E41" s="3609"/>
      <c r="F41" s="3551"/>
      <c r="G41" s="3551"/>
      <c r="H41" s="2196" t="s">
        <v>34</v>
      </c>
      <c r="I41" s="825">
        <v>4</v>
      </c>
      <c r="J41" s="826">
        <v>4</v>
      </c>
      <c r="K41" s="826">
        <v>0</v>
      </c>
      <c r="L41" s="827">
        <v>0</v>
      </c>
      <c r="M41" s="825">
        <v>3</v>
      </c>
      <c r="N41" s="826">
        <v>3</v>
      </c>
      <c r="O41" s="826">
        <v>0</v>
      </c>
      <c r="P41" s="841">
        <v>0</v>
      </c>
      <c r="Q41" s="825">
        <v>3</v>
      </c>
      <c r="R41" s="826">
        <v>3</v>
      </c>
      <c r="S41" s="826">
        <v>0</v>
      </c>
      <c r="T41" s="841">
        <v>0</v>
      </c>
      <c r="U41" s="825">
        <v>3</v>
      </c>
      <c r="V41" s="826">
        <v>3</v>
      </c>
      <c r="W41" s="826"/>
      <c r="X41" s="841">
        <v>0</v>
      </c>
    </row>
    <row r="42" spans="1:24" s="815" customFormat="1" ht="12" customHeight="1" thickBot="1" x14ac:dyDescent="0.25">
      <c r="A42" s="3577"/>
      <c r="B42" s="3579"/>
      <c r="C42" s="3553"/>
      <c r="D42" s="3608"/>
      <c r="E42" s="3609"/>
      <c r="F42" s="3555"/>
      <c r="G42" s="3555"/>
      <c r="H42" s="2188" t="s">
        <v>33</v>
      </c>
      <c r="I42" s="846">
        <f>J42+L42</f>
        <v>84.5</v>
      </c>
      <c r="J42" s="843">
        <v>14.3</v>
      </c>
      <c r="K42" s="843">
        <v>14.1</v>
      </c>
      <c r="L42" s="844">
        <v>70.2</v>
      </c>
      <c r="M42" s="846">
        <v>89.6</v>
      </c>
      <c r="N42" s="843">
        <v>12</v>
      </c>
      <c r="O42" s="843">
        <v>12</v>
      </c>
      <c r="P42" s="845">
        <v>77.7</v>
      </c>
      <c r="Q42" s="846"/>
      <c r="R42" s="843"/>
      <c r="S42" s="843"/>
      <c r="T42" s="845"/>
      <c r="U42" s="846"/>
      <c r="V42" s="843"/>
      <c r="W42" s="843"/>
      <c r="X42" s="845"/>
    </row>
    <row r="43" spans="1:24" s="815" customFormat="1" ht="17.25" customHeight="1" thickBot="1" x14ac:dyDescent="0.25">
      <c r="A43" s="3547"/>
      <c r="B43" s="3549"/>
      <c r="C43" s="3516"/>
      <c r="D43" s="3608"/>
      <c r="E43" s="3609"/>
      <c r="F43" s="3556" t="s">
        <v>35</v>
      </c>
      <c r="G43" s="3557"/>
      <c r="H43" s="3558"/>
      <c r="I43" s="831">
        <f>J43+L43</f>
        <v>1138.3</v>
      </c>
      <c r="J43" s="832">
        <f>J39+J40+J41+J42</f>
        <v>968.09999999999991</v>
      </c>
      <c r="K43" s="832">
        <f>K39+K40+K41+K42</f>
        <v>864.4</v>
      </c>
      <c r="L43" s="832">
        <f t="shared" ref="L43" si="7">L39+L40+L41+L42</f>
        <v>170.2</v>
      </c>
      <c r="M43" s="831">
        <f>N43+P43</f>
        <v>1254.1000000000001</v>
      </c>
      <c r="N43" s="832">
        <f>N39+N40+N41+N42</f>
        <v>1176.4000000000001</v>
      </c>
      <c r="O43" s="832">
        <f>SUM(O39:O42)</f>
        <v>1055.8</v>
      </c>
      <c r="P43" s="832">
        <f>SUM(P39:P42)</f>
        <v>77.7</v>
      </c>
      <c r="Q43" s="831">
        <v>1176.4000000000001</v>
      </c>
      <c r="R43" s="832">
        <v>1176.4000000000001</v>
      </c>
      <c r="S43" s="832">
        <v>1055.8</v>
      </c>
      <c r="T43" s="833">
        <f>SUM(T39:T41)</f>
        <v>0</v>
      </c>
      <c r="U43" s="831">
        <v>1176.4000000000001</v>
      </c>
      <c r="V43" s="832">
        <v>1176.4000000000001</v>
      </c>
      <c r="W43" s="832">
        <f>SUM(W39:W41)</f>
        <v>1055.8</v>
      </c>
      <c r="X43" s="833">
        <f>SUM(X39:X41)</f>
        <v>0</v>
      </c>
    </row>
    <row r="44" spans="1:24" s="815" customFormat="1" ht="24.75" customHeight="1" thickBot="1" x14ac:dyDescent="0.25">
      <c r="A44" s="3565">
        <v>1</v>
      </c>
      <c r="B44" s="3578">
        <v>1</v>
      </c>
      <c r="C44" s="3591">
        <v>9</v>
      </c>
      <c r="D44" s="3585" t="s">
        <v>870</v>
      </c>
      <c r="E44" s="3652" t="s">
        <v>114</v>
      </c>
      <c r="F44" s="860" t="s">
        <v>847</v>
      </c>
      <c r="G44" s="861" t="s">
        <v>871</v>
      </c>
      <c r="H44" s="862" t="s">
        <v>30</v>
      </c>
      <c r="I44" s="863">
        <v>47.2</v>
      </c>
      <c r="J44" s="864">
        <v>47.2</v>
      </c>
      <c r="K44" s="864"/>
      <c r="L44" s="865"/>
      <c r="M44" s="866">
        <v>120</v>
      </c>
      <c r="N44" s="864">
        <v>120</v>
      </c>
      <c r="O44" s="864"/>
      <c r="P44" s="867"/>
      <c r="Q44" s="868">
        <v>120</v>
      </c>
      <c r="R44" s="834">
        <v>120</v>
      </c>
      <c r="S44" s="864"/>
      <c r="T44" s="867"/>
      <c r="U44" s="868">
        <v>120</v>
      </c>
      <c r="V44" s="834">
        <v>120</v>
      </c>
      <c r="W44" s="864"/>
      <c r="X44" s="867"/>
    </row>
    <row r="45" spans="1:24" s="815" customFormat="1" ht="17.25" customHeight="1" thickBot="1" x14ac:dyDescent="0.25">
      <c r="A45" s="3547"/>
      <c r="B45" s="3549"/>
      <c r="C45" s="3619"/>
      <c r="D45" s="3585"/>
      <c r="E45" s="3653"/>
      <c r="F45" s="3650" t="s">
        <v>35</v>
      </c>
      <c r="G45" s="3650"/>
      <c r="H45" s="3651"/>
      <c r="I45" s="851">
        <f>I44</f>
        <v>47.2</v>
      </c>
      <c r="J45" s="852">
        <f>J44</f>
        <v>47.2</v>
      </c>
      <c r="K45" s="852"/>
      <c r="L45" s="869"/>
      <c r="M45" s="851">
        <f>M44</f>
        <v>120</v>
      </c>
      <c r="N45" s="852">
        <f>N44</f>
        <v>120</v>
      </c>
      <c r="O45" s="852"/>
      <c r="P45" s="853"/>
      <c r="Q45" s="851">
        <f>Q44</f>
        <v>120</v>
      </c>
      <c r="R45" s="852">
        <f>R44</f>
        <v>120</v>
      </c>
      <c r="S45" s="852"/>
      <c r="T45" s="853"/>
      <c r="U45" s="851">
        <f>U44</f>
        <v>120</v>
      </c>
      <c r="V45" s="852">
        <f>V44</f>
        <v>120</v>
      </c>
      <c r="W45" s="852"/>
      <c r="X45" s="853"/>
    </row>
    <row r="46" spans="1:24" s="815" customFormat="1" ht="17.25" customHeight="1" x14ac:dyDescent="0.2">
      <c r="A46" s="3565">
        <v>1</v>
      </c>
      <c r="B46" s="3579">
        <v>1</v>
      </c>
      <c r="C46" s="3553">
        <v>10</v>
      </c>
      <c r="D46" s="3594" t="s">
        <v>1351</v>
      </c>
      <c r="E46" s="870" t="s">
        <v>588</v>
      </c>
      <c r="F46" s="3645" t="s">
        <v>847</v>
      </c>
      <c r="G46" s="3645" t="s">
        <v>872</v>
      </c>
      <c r="H46" s="3591" t="s">
        <v>30</v>
      </c>
      <c r="I46" s="871"/>
      <c r="J46" s="872"/>
      <c r="K46" s="873"/>
      <c r="L46" s="865"/>
      <c r="M46" s="874">
        <f>N46+P46</f>
        <v>64.099999999999994</v>
      </c>
      <c r="N46" s="2055">
        <f>21.1+33</f>
        <v>54.1</v>
      </c>
      <c r="O46" s="864"/>
      <c r="P46" s="848">
        <f>10</f>
        <v>10</v>
      </c>
      <c r="Q46" s="874">
        <v>150</v>
      </c>
      <c r="R46" s="864">
        <v>150</v>
      </c>
      <c r="S46" s="864"/>
      <c r="T46" s="848"/>
      <c r="U46" s="874">
        <v>150</v>
      </c>
      <c r="V46" s="864">
        <v>150</v>
      </c>
      <c r="W46" s="864"/>
      <c r="X46" s="848"/>
    </row>
    <row r="47" spans="1:24" s="815" customFormat="1" ht="17.25" customHeight="1" x14ac:dyDescent="0.2">
      <c r="A47" s="3577"/>
      <c r="B47" s="3579"/>
      <c r="C47" s="3553"/>
      <c r="D47" s="3594"/>
      <c r="E47" s="2190" t="s">
        <v>867</v>
      </c>
      <c r="F47" s="3534"/>
      <c r="G47" s="3534"/>
      <c r="H47" s="3582"/>
      <c r="I47" s="875"/>
      <c r="J47" s="876"/>
      <c r="K47" s="876"/>
      <c r="L47" s="877"/>
      <c r="M47" s="878">
        <v>74.900000000000006</v>
      </c>
      <c r="N47" s="876">
        <v>59</v>
      </c>
      <c r="O47" s="876"/>
      <c r="P47" s="877">
        <v>15.9</v>
      </c>
      <c r="Q47" s="878"/>
      <c r="R47" s="876"/>
      <c r="S47" s="876"/>
      <c r="T47" s="877"/>
      <c r="U47" s="878"/>
      <c r="V47" s="876"/>
      <c r="W47" s="876"/>
      <c r="X47" s="877"/>
    </row>
    <row r="48" spans="1:24" s="815" customFormat="1" ht="17.25" customHeight="1" x14ac:dyDescent="0.2">
      <c r="A48" s="3577"/>
      <c r="B48" s="3579"/>
      <c r="C48" s="3553"/>
      <c r="D48" s="3594"/>
      <c r="E48" s="2190" t="s">
        <v>864</v>
      </c>
      <c r="F48" s="3534"/>
      <c r="G48" s="3534"/>
      <c r="H48" s="3582"/>
      <c r="I48" s="875"/>
      <c r="J48" s="879"/>
      <c r="K48" s="876"/>
      <c r="L48" s="877"/>
      <c r="M48" s="878">
        <v>5</v>
      </c>
      <c r="N48" s="876"/>
      <c r="O48" s="876"/>
      <c r="P48" s="877">
        <v>5</v>
      </c>
      <c r="Q48" s="878"/>
      <c r="R48" s="876"/>
      <c r="S48" s="876"/>
      <c r="T48" s="877"/>
      <c r="U48" s="878"/>
      <c r="V48" s="876"/>
      <c r="W48" s="876"/>
      <c r="X48" s="877"/>
    </row>
    <row r="49" spans="1:26" s="815" customFormat="1" ht="17.25" customHeight="1" x14ac:dyDescent="0.2">
      <c r="A49" s="3577"/>
      <c r="B49" s="3579"/>
      <c r="C49" s="3553"/>
      <c r="D49" s="3594"/>
      <c r="E49" s="2190" t="s">
        <v>852</v>
      </c>
      <c r="F49" s="3534"/>
      <c r="G49" s="3534"/>
      <c r="H49" s="3582"/>
      <c r="I49" s="875"/>
      <c r="J49" s="879"/>
      <c r="K49" s="876"/>
      <c r="L49" s="877"/>
      <c r="M49" s="878">
        <v>5</v>
      </c>
      <c r="N49" s="876"/>
      <c r="O49" s="876"/>
      <c r="P49" s="877">
        <v>5</v>
      </c>
      <c r="Q49" s="878"/>
      <c r="R49" s="876"/>
      <c r="S49" s="876"/>
      <c r="T49" s="877"/>
      <c r="U49" s="878"/>
      <c r="V49" s="876"/>
      <c r="W49" s="876"/>
      <c r="X49" s="877"/>
    </row>
    <row r="50" spans="1:26" s="815" customFormat="1" ht="17.25" customHeight="1" x14ac:dyDescent="0.2">
      <c r="A50" s="3577"/>
      <c r="B50" s="3579"/>
      <c r="C50" s="3553"/>
      <c r="D50" s="3594"/>
      <c r="E50" s="2190" t="s">
        <v>873</v>
      </c>
      <c r="F50" s="3534"/>
      <c r="G50" s="3534"/>
      <c r="H50" s="3582"/>
      <c r="I50" s="875"/>
      <c r="J50" s="876"/>
      <c r="K50" s="876"/>
      <c r="L50" s="877"/>
      <c r="M50" s="878">
        <v>2</v>
      </c>
      <c r="N50" s="876"/>
      <c r="O50" s="876"/>
      <c r="P50" s="877">
        <v>2</v>
      </c>
      <c r="Q50" s="878"/>
      <c r="R50" s="876"/>
      <c r="S50" s="876"/>
      <c r="T50" s="877"/>
      <c r="U50" s="878"/>
      <c r="V50" s="876"/>
      <c r="W50" s="876"/>
      <c r="X50" s="877"/>
    </row>
    <row r="51" spans="1:26" s="815" customFormat="1" ht="17.25" customHeight="1" x14ac:dyDescent="0.2">
      <c r="A51" s="3577"/>
      <c r="B51" s="3579"/>
      <c r="C51" s="3553"/>
      <c r="D51" s="3594"/>
      <c r="E51" s="2190" t="s">
        <v>855</v>
      </c>
      <c r="F51" s="3534"/>
      <c r="G51" s="3534"/>
      <c r="H51" s="3582"/>
      <c r="I51" s="875"/>
      <c r="J51" s="879"/>
      <c r="K51" s="876"/>
      <c r="L51" s="877"/>
      <c r="M51" s="878">
        <v>2</v>
      </c>
      <c r="N51" s="876"/>
      <c r="O51" s="876"/>
      <c r="P51" s="877">
        <v>2</v>
      </c>
      <c r="Q51" s="878"/>
      <c r="R51" s="876"/>
      <c r="S51" s="876"/>
      <c r="T51" s="877"/>
      <c r="U51" s="878"/>
      <c r="V51" s="876"/>
      <c r="W51" s="876"/>
      <c r="X51" s="877"/>
    </row>
    <row r="52" spans="1:26" s="815" customFormat="1" ht="15.75" customHeight="1" thickBot="1" x14ac:dyDescent="0.25">
      <c r="A52" s="3577"/>
      <c r="B52" s="3579"/>
      <c r="C52" s="3553"/>
      <c r="D52" s="3594"/>
      <c r="E52" s="3641" t="s">
        <v>858</v>
      </c>
      <c r="F52" s="3646"/>
      <c r="G52" s="3646"/>
      <c r="H52" s="3647"/>
      <c r="I52" s="880"/>
      <c r="J52" s="855"/>
      <c r="K52" s="822"/>
      <c r="L52" s="823"/>
      <c r="M52" s="824">
        <v>40</v>
      </c>
      <c r="N52" s="840"/>
      <c r="O52" s="822"/>
      <c r="P52" s="823">
        <v>40</v>
      </c>
      <c r="Q52" s="824"/>
      <c r="R52" s="840"/>
      <c r="S52" s="822"/>
      <c r="T52" s="823"/>
      <c r="U52" s="824"/>
      <c r="V52" s="840"/>
      <c r="W52" s="822"/>
      <c r="X52" s="823"/>
    </row>
    <row r="53" spans="1:26" s="815" customFormat="1" ht="21.75" customHeight="1" thickBot="1" x14ac:dyDescent="0.25">
      <c r="A53" s="3547"/>
      <c r="B53" s="3549"/>
      <c r="C53" s="3588"/>
      <c r="D53" s="3616"/>
      <c r="E53" s="3648"/>
      <c r="F53" s="3649" t="s">
        <v>35</v>
      </c>
      <c r="G53" s="3650"/>
      <c r="H53" s="3651"/>
      <c r="I53" s="831"/>
      <c r="J53" s="832"/>
      <c r="K53" s="832">
        <f>SUM(K52:K52)</f>
        <v>0</v>
      </c>
      <c r="L53" s="833"/>
      <c r="M53" s="831">
        <f>M46+M47+M48+M49+M50+M51+M52</f>
        <v>193</v>
      </c>
      <c r="N53" s="832">
        <f>N46+N47+N48+N49+N50+N51+N52</f>
        <v>113.1</v>
      </c>
      <c r="O53" s="832">
        <f t="shared" ref="O53:R53" si="8">O46+O47+O48+O50+O51+O52</f>
        <v>0</v>
      </c>
      <c r="P53" s="833">
        <f>P46+P48+P47+P49+P50+P51+P52</f>
        <v>79.900000000000006</v>
      </c>
      <c r="Q53" s="831">
        <f t="shared" si="8"/>
        <v>150</v>
      </c>
      <c r="R53" s="832">
        <f t="shared" si="8"/>
        <v>150</v>
      </c>
      <c r="S53" s="832">
        <f>SUM(S52:S52)</f>
        <v>0</v>
      </c>
      <c r="T53" s="833">
        <f>SUM(T52:T52)</f>
        <v>0</v>
      </c>
      <c r="U53" s="831">
        <f>U46+U47+U48+U50+U51+U52</f>
        <v>150</v>
      </c>
      <c r="V53" s="832">
        <f>V46+V47+V48+V50+V51+V52</f>
        <v>150</v>
      </c>
      <c r="W53" s="832">
        <f>SUM(W52:W52)</f>
        <v>0</v>
      </c>
      <c r="X53" s="833">
        <f>SUM(X52:X52)</f>
        <v>0</v>
      </c>
    </row>
    <row r="54" spans="1:26" s="815" customFormat="1" ht="17.25" customHeight="1" thickBot="1" x14ac:dyDescent="0.25">
      <c r="A54" s="2187">
        <v>1</v>
      </c>
      <c r="B54" s="881">
        <v>1</v>
      </c>
      <c r="C54" s="3596" t="s">
        <v>234</v>
      </c>
      <c r="D54" s="3597"/>
      <c r="E54" s="3597"/>
      <c r="F54" s="3597"/>
      <c r="G54" s="3597"/>
      <c r="H54" s="3605"/>
      <c r="I54" s="882">
        <f>I15+I18+I22+I26+I30+I34+I38+I43+I45+I53</f>
        <v>3269.3</v>
      </c>
      <c r="J54" s="883">
        <f>J15+J18+J22+J26+J30+J34+J38+J43+J45+J53</f>
        <v>3092.8</v>
      </c>
      <c r="K54" s="883">
        <f>K15+K18+K22+K26+K30+K34+K38+K43+K45+K53</f>
        <v>2428.9</v>
      </c>
      <c r="L54" s="883">
        <f>L30+L34+L43</f>
        <v>176.5</v>
      </c>
      <c r="M54" s="882">
        <f t="shared" ref="M54:S54" si="9">M15+M18+M22+M26+M30+M34+M38+M43+M45+M53</f>
        <v>3957.7</v>
      </c>
      <c r="N54" s="883">
        <f t="shared" si="9"/>
        <v>3796.3</v>
      </c>
      <c r="O54" s="883">
        <f t="shared" si="9"/>
        <v>2870.6</v>
      </c>
      <c r="P54" s="883">
        <f>P15+P18+P22+P26+P30+P34+P38+P43+P45+P53</f>
        <v>161.4</v>
      </c>
      <c r="Q54" s="882">
        <f t="shared" si="9"/>
        <v>3869.9</v>
      </c>
      <c r="R54" s="883">
        <f t="shared" si="9"/>
        <v>3869.9</v>
      </c>
      <c r="S54" s="883">
        <f t="shared" si="9"/>
        <v>2870.6</v>
      </c>
      <c r="T54" s="883">
        <f>SUM(T43,T38,T34,T30,T26,T22,T15,T18,)</f>
        <v>0</v>
      </c>
      <c r="U54" s="882">
        <f>U15+U18+U22+U26+U30+U34+U38+U43+U45+U53</f>
        <v>3879.7</v>
      </c>
      <c r="V54" s="883">
        <f>V15+V18+V22+V26+V30+V34+V38+V43+V45+V53</f>
        <v>3879.7</v>
      </c>
      <c r="W54" s="883">
        <f>W15+W18+W22+W26+W30+W34+W38+W43+W45+W53</f>
        <v>2870.6</v>
      </c>
      <c r="X54" s="2362">
        <f>X15+X18+X22+X26+X30+X34+X38+X43+X45+X53</f>
        <v>0</v>
      </c>
    </row>
    <row r="55" spans="1:26" s="820" customFormat="1" ht="18.75" customHeight="1" thickBot="1" x14ac:dyDescent="0.3">
      <c r="A55" s="884">
        <v>1</v>
      </c>
      <c r="B55" s="2197">
        <v>2</v>
      </c>
      <c r="C55" s="3544" t="s">
        <v>874</v>
      </c>
      <c r="D55" s="3545"/>
      <c r="E55" s="3545"/>
      <c r="F55" s="3545"/>
      <c r="G55" s="3545"/>
      <c r="H55" s="3545"/>
      <c r="I55" s="3545"/>
      <c r="J55" s="3545"/>
      <c r="K55" s="3545"/>
      <c r="L55" s="3545"/>
      <c r="M55" s="3545"/>
      <c r="N55" s="3545"/>
      <c r="O55" s="3545"/>
      <c r="P55" s="3545"/>
      <c r="Q55" s="3545"/>
      <c r="R55" s="3545"/>
      <c r="S55" s="3545"/>
      <c r="T55" s="3545"/>
      <c r="U55" s="3606"/>
      <c r="V55" s="3606"/>
      <c r="W55" s="3606"/>
      <c r="X55" s="3607"/>
      <c r="Z55" s="815"/>
    </row>
    <row r="56" spans="1:26" s="815" customFormat="1" ht="36.75" customHeight="1" thickBot="1" x14ac:dyDescent="0.25">
      <c r="A56" s="3565">
        <v>1</v>
      </c>
      <c r="B56" s="3578">
        <v>2</v>
      </c>
      <c r="C56" s="3555">
        <v>1</v>
      </c>
      <c r="D56" s="3580" t="s">
        <v>875</v>
      </c>
      <c r="E56" s="3643" t="s">
        <v>588</v>
      </c>
      <c r="F56" s="2194" t="s">
        <v>876</v>
      </c>
      <c r="G56" s="2193" t="s">
        <v>877</v>
      </c>
      <c r="H56" s="885" t="s">
        <v>30</v>
      </c>
      <c r="I56" s="886">
        <f>J56+L56</f>
        <v>7.8</v>
      </c>
      <c r="J56" s="887">
        <f>11-3.2</f>
        <v>7.8</v>
      </c>
      <c r="K56" s="887">
        <v>0</v>
      </c>
      <c r="L56" s="838">
        <v>0</v>
      </c>
      <c r="M56" s="886">
        <v>20</v>
      </c>
      <c r="N56" s="887">
        <v>20</v>
      </c>
      <c r="O56" s="887">
        <v>0</v>
      </c>
      <c r="P56" s="838">
        <v>0</v>
      </c>
      <c r="Q56" s="886">
        <v>20</v>
      </c>
      <c r="R56" s="887">
        <v>20</v>
      </c>
      <c r="S56" s="887">
        <v>0</v>
      </c>
      <c r="T56" s="838">
        <v>0</v>
      </c>
      <c r="U56" s="886">
        <v>20</v>
      </c>
      <c r="V56" s="887">
        <v>20</v>
      </c>
      <c r="W56" s="887">
        <v>0</v>
      </c>
      <c r="X56" s="838">
        <v>0</v>
      </c>
    </row>
    <row r="57" spans="1:26" s="815" customFormat="1" ht="63" customHeight="1" thickBot="1" x14ac:dyDescent="0.25">
      <c r="A57" s="3577"/>
      <c r="B57" s="3579"/>
      <c r="C57" s="3553"/>
      <c r="D57" s="3537"/>
      <c r="E57" s="3644"/>
      <c r="F57" s="3556" t="s">
        <v>35</v>
      </c>
      <c r="G57" s="3557"/>
      <c r="H57" s="3558"/>
      <c r="I57" s="831">
        <f>SUM(J57,L57)</f>
        <v>7.8</v>
      </c>
      <c r="J57" s="888">
        <f>SUM(J56)</f>
        <v>7.8</v>
      </c>
      <c r="K57" s="888">
        <f>SUM(K56)</f>
        <v>0</v>
      </c>
      <c r="L57" s="889">
        <f>SUM(L56)</f>
        <v>0</v>
      </c>
      <c r="M57" s="831">
        <f>SUM(N57,P57)</f>
        <v>20</v>
      </c>
      <c r="N57" s="888">
        <f>SUM(N56)</f>
        <v>20</v>
      </c>
      <c r="O57" s="888">
        <f>SUM(O56)</f>
        <v>0</v>
      </c>
      <c r="P57" s="889">
        <f>SUM(P56)</f>
        <v>0</v>
      </c>
      <c r="Q57" s="831">
        <f>SUM(R57,T57)</f>
        <v>20</v>
      </c>
      <c r="R57" s="888">
        <f>SUM(R56)</f>
        <v>20</v>
      </c>
      <c r="S57" s="888">
        <f>SUM(S56)</f>
        <v>0</v>
      </c>
      <c r="T57" s="889">
        <f>SUM(T56)</f>
        <v>0</v>
      </c>
      <c r="U57" s="831">
        <f>SUM(V57,X57)</f>
        <v>20</v>
      </c>
      <c r="V57" s="888">
        <f>SUM(V56)</f>
        <v>20</v>
      </c>
      <c r="W57" s="888">
        <f>SUM(W56)</f>
        <v>0</v>
      </c>
      <c r="X57" s="889">
        <f>SUM(X56)</f>
        <v>0</v>
      </c>
    </row>
    <row r="58" spans="1:26" s="815" customFormat="1" ht="18.75" customHeight="1" x14ac:dyDescent="0.2">
      <c r="A58" s="3565">
        <v>1</v>
      </c>
      <c r="B58" s="3635">
        <v>2</v>
      </c>
      <c r="C58" s="3555">
        <v>2</v>
      </c>
      <c r="D58" s="3639" t="s">
        <v>878</v>
      </c>
      <c r="E58" s="3641" t="s">
        <v>873</v>
      </c>
      <c r="F58" s="3515" t="s">
        <v>879</v>
      </c>
      <c r="G58" s="3515" t="s">
        <v>880</v>
      </c>
      <c r="H58" s="821" t="s">
        <v>30</v>
      </c>
      <c r="I58" s="890">
        <v>23.3</v>
      </c>
      <c r="J58" s="890">
        <v>23.3</v>
      </c>
      <c r="K58" s="891">
        <v>12.9</v>
      </c>
      <c r="L58" s="821"/>
      <c r="M58" s="890">
        <v>0.4</v>
      </c>
      <c r="N58" s="890">
        <v>0.4</v>
      </c>
      <c r="O58" s="891"/>
      <c r="P58" s="892"/>
      <c r="Q58" s="890"/>
      <c r="R58" s="890"/>
      <c r="S58" s="891"/>
      <c r="T58" s="2183"/>
      <c r="U58" s="890"/>
      <c r="V58" s="890"/>
      <c r="W58" s="891"/>
      <c r="X58" s="2183"/>
    </row>
    <row r="59" spans="1:26" s="815" customFormat="1" ht="18.75" customHeight="1" x14ac:dyDescent="0.2">
      <c r="A59" s="3577"/>
      <c r="B59" s="3531"/>
      <c r="C59" s="3553"/>
      <c r="D59" s="3608"/>
      <c r="E59" s="3609"/>
      <c r="F59" s="3553"/>
      <c r="G59" s="3553"/>
      <c r="H59" s="893" t="s">
        <v>112</v>
      </c>
      <c r="I59" s="894">
        <v>0.8</v>
      </c>
      <c r="J59" s="895">
        <v>0.8</v>
      </c>
      <c r="K59" s="2186">
        <v>0.3</v>
      </c>
      <c r="L59" s="896"/>
      <c r="M59" s="894"/>
      <c r="N59" s="895"/>
      <c r="O59" s="2186"/>
      <c r="P59" s="897"/>
      <c r="Q59" s="894"/>
      <c r="R59" s="895"/>
      <c r="S59" s="2186"/>
      <c r="T59" s="823"/>
      <c r="U59" s="894"/>
      <c r="V59" s="895"/>
      <c r="W59" s="2186"/>
      <c r="X59" s="823"/>
    </row>
    <row r="60" spans="1:26" s="815" customFormat="1" ht="18.75" customHeight="1" thickBot="1" x14ac:dyDescent="0.25">
      <c r="A60" s="3577"/>
      <c r="B60" s="3531"/>
      <c r="C60" s="3553"/>
      <c r="D60" s="3608"/>
      <c r="E60" s="3609"/>
      <c r="F60" s="3588"/>
      <c r="G60" s="3588"/>
      <c r="H60" s="2192" t="s">
        <v>111</v>
      </c>
      <c r="I60" s="898">
        <v>28</v>
      </c>
      <c r="J60" s="899">
        <v>28</v>
      </c>
      <c r="K60" s="2191">
        <v>19.100000000000001</v>
      </c>
      <c r="L60" s="900"/>
      <c r="M60" s="901"/>
      <c r="N60" s="902"/>
      <c r="O60" s="2191"/>
      <c r="P60" s="897"/>
      <c r="Q60" s="901"/>
      <c r="R60" s="902"/>
      <c r="S60" s="2191"/>
      <c r="T60" s="823"/>
      <c r="U60" s="901"/>
      <c r="V60" s="902"/>
      <c r="W60" s="2191"/>
      <c r="X60" s="823"/>
    </row>
    <row r="61" spans="1:26" s="815" customFormat="1" ht="17.25" customHeight="1" thickBot="1" x14ac:dyDescent="0.25">
      <c r="A61" s="3547"/>
      <c r="B61" s="3636"/>
      <c r="C61" s="3516"/>
      <c r="D61" s="3640"/>
      <c r="E61" s="3642"/>
      <c r="F61" s="3541" t="s">
        <v>35</v>
      </c>
      <c r="G61" s="3542"/>
      <c r="H61" s="3543"/>
      <c r="I61" s="903">
        <f>I58+I59+I60</f>
        <v>52.1</v>
      </c>
      <c r="J61" s="904">
        <f>SUM(J60+J58+J59)</f>
        <v>52.099999999999994</v>
      </c>
      <c r="K61" s="904">
        <f>K58+K59+K60</f>
        <v>32.300000000000004</v>
      </c>
      <c r="L61" s="905"/>
      <c r="M61" s="904">
        <f>M58+M59+M60</f>
        <v>0.4</v>
      </c>
      <c r="N61" s="904">
        <f>N58+N59+N60</f>
        <v>0.4</v>
      </c>
      <c r="O61" s="904">
        <f>O58+O59+O60</f>
        <v>0</v>
      </c>
      <c r="P61" s="905">
        <f>P60</f>
        <v>0</v>
      </c>
      <c r="Q61" s="906">
        <f>SUM(Q58+Q59+Q60)</f>
        <v>0</v>
      </c>
      <c r="R61" s="904">
        <f>SUM(R58+R59+R60)</f>
        <v>0</v>
      </c>
      <c r="S61" s="904">
        <f>S58+S59+S60</f>
        <v>0</v>
      </c>
      <c r="T61" s="905"/>
      <c r="U61" s="904">
        <f>SUM(U58+U59+U60)</f>
        <v>0</v>
      </c>
      <c r="V61" s="904">
        <f>SUM(V58+V59+V60)</f>
        <v>0</v>
      </c>
      <c r="W61" s="904">
        <f>W58+W59+W60</f>
        <v>0</v>
      </c>
      <c r="X61" s="905"/>
    </row>
    <row r="62" spans="1:26" s="815" customFormat="1" ht="18" customHeight="1" thickBot="1" x14ac:dyDescent="0.25">
      <c r="A62" s="3565" t="s">
        <v>881</v>
      </c>
      <c r="B62" s="3635" t="s">
        <v>882</v>
      </c>
      <c r="C62" s="3555" t="s">
        <v>883</v>
      </c>
      <c r="D62" s="3593" t="s">
        <v>884</v>
      </c>
      <c r="E62" s="3637" t="s">
        <v>588</v>
      </c>
      <c r="F62" s="2198" t="s">
        <v>879</v>
      </c>
      <c r="G62" s="2198" t="s">
        <v>885</v>
      </c>
      <c r="H62" s="907" t="s">
        <v>30</v>
      </c>
      <c r="I62" s="908"/>
      <c r="J62" s="909"/>
      <c r="K62" s="909"/>
      <c r="L62" s="910"/>
      <c r="M62" s="908">
        <v>70</v>
      </c>
      <c r="N62" s="909">
        <v>70</v>
      </c>
      <c r="O62" s="909"/>
      <c r="P62" s="911"/>
      <c r="Q62" s="912">
        <v>70</v>
      </c>
      <c r="R62" s="909">
        <v>70</v>
      </c>
      <c r="S62" s="909"/>
      <c r="T62" s="913"/>
      <c r="U62" s="908">
        <v>70</v>
      </c>
      <c r="V62" s="909">
        <v>70</v>
      </c>
      <c r="W62" s="909"/>
      <c r="X62" s="914"/>
    </row>
    <row r="63" spans="1:26" s="815" customFormat="1" ht="29.25" customHeight="1" thickBot="1" x14ac:dyDescent="0.25">
      <c r="A63" s="3547"/>
      <c r="B63" s="3636"/>
      <c r="C63" s="3516"/>
      <c r="D63" s="3595"/>
      <c r="E63" s="3638"/>
      <c r="F63" s="3541" t="s">
        <v>35</v>
      </c>
      <c r="G63" s="3542"/>
      <c r="H63" s="3543"/>
      <c r="I63" s="915"/>
      <c r="J63" s="916"/>
      <c r="K63" s="904"/>
      <c r="L63" s="905"/>
      <c r="M63" s="917">
        <f>M62</f>
        <v>70</v>
      </c>
      <c r="N63" s="904">
        <f>N62</f>
        <v>70</v>
      </c>
      <c r="O63" s="904"/>
      <c r="P63" s="918"/>
      <c r="Q63" s="919">
        <f>Q62</f>
        <v>70</v>
      </c>
      <c r="R63" s="904">
        <f>R62</f>
        <v>70</v>
      </c>
      <c r="S63" s="904"/>
      <c r="T63" s="918"/>
      <c r="U63" s="906">
        <f>U62</f>
        <v>70</v>
      </c>
      <c r="V63" s="904">
        <f>V62</f>
        <v>70</v>
      </c>
      <c r="W63" s="904"/>
      <c r="X63" s="905"/>
    </row>
    <row r="64" spans="1:26" s="815" customFormat="1" ht="15.75" customHeight="1" thickBot="1" x14ac:dyDescent="0.25">
      <c r="A64" s="920">
        <v>1</v>
      </c>
      <c r="B64" s="921">
        <v>2</v>
      </c>
      <c r="C64" s="3629" t="s">
        <v>234</v>
      </c>
      <c r="D64" s="3629"/>
      <c r="E64" s="3629"/>
      <c r="F64" s="3630"/>
      <c r="G64" s="3630"/>
      <c r="H64" s="3631"/>
      <c r="I64" s="922">
        <f>J64+L64</f>
        <v>59.899999999999991</v>
      </c>
      <c r="J64" s="923">
        <f>J61+J57</f>
        <v>59.899999999999991</v>
      </c>
      <c r="K64" s="924">
        <f>K61+K57</f>
        <v>32.300000000000004</v>
      </c>
      <c r="L64" s="924">
        <f t="shared" ref="L64" si="10">L61+L57</f>
        <v>0</v>
      </c>
      <c r="M64" s="925">
        <f>M57+M61+M63</f>
        <v>90.4</v>
      </c>
      <c r="N64" s="926">
        <f>N57+N63+N61</f>
        <v>90.4</v>
      </c>
      <c r="O64" s="924">
        <f t="shared" ref="O64:P64" si="11">O61+O57</f>
        <v>0</v>
      </c>
      <c r="P64" s="924">
        <f t="shared" si="11"/>
        <v>0</v>
      </c>
      <c r="Q64" s="925">
        <f>Q57+Q63</f>
        <v>90</v>
      </c>
      <c r="R64" s="926">
        <f>R57+R63</f>
        <v>90</v>
      </c>
      <c r="S64" s="926">
        <f t="shared" ref="S64:T64" si="12">S61+S57</f>
        <v>0</v>
      </c>
      <c r="T64" s="927">
        <f t="shared" si="12"/>
        <v>0</v>
      </c>
      <c r="U64" s="925">
        <f>U57+U61+U63</f>
        <v>90</v>
      </c>
      <c r="V64" s="926">
        <f>V57+V61+V63</f>
        <v>90</v>
      </c>
      <c r="W64" s="926">
        <f t="shared" ref="W64:X64" si="13">W61+W57</f>
        <v>0</v>
      </c>
      <c r="X64" s="928">
        <f t="shared" si="13"/>
        <v>0</v>
      </c>
    </row>
    <row r="65" spans="1:30" s="815" customFormat="1" ht="13.5" customHeight="1" thickBot="1" x14ac:dyDescent="0.25">
      <c r="A65" s="929">
        <v>1</v>
      </c>
      <c r="B65" s="3632" t="s">
        <v>167</v>
      </c>
      <c r="C65" s="3633"/>
      <c r="D65" s="3633"/>
      <c r="E65" s="3633"/>
      <c r="F65" s="3633"/>
      <c r="G65" s="3633"/>
      <c r="H65" s="3634"/>
      <c r="I65" s="930">
        <f t="shared" ref="I65:O65" si="14">I54+I64</f>
        <v>3329.2000000000003</v>
      </c>
      <c r="J65" s="931">
        <f t="shared" si="14"/>
        <v>3152.7000000000003</v>
      </c>
      <c r="K65" s="932">
        <f t="shared" si="14"/>
        <v>2461.2000000000003</v>
      </c>
      <c r="L65" s="932">
        <f t="shared" si="14"/>
        <v>176.5</v>
      </c>
      <c r="M65" s="933">
        <f t="shared" si="14"/>
        <v>4048.1</v>
      </c>
      <c r="N65" s="932">
        <f t="shared" si="14"/>
        <v>3886.7000000000003</v>
      </c>
      <c r="O65" s="932">
        <f t="shared" si="14"/>
        <v>2870.6</v>
      </c>
      <c r="P65" s="934">
        <f>SUM(P64,P54)</f>
        <v>161.4</v>
      </c>
      <c r="Q65" s="933">
        <f>Q54+Q64</f>
        <v>3959.9</v>
      </c>
      <c r="R65" s="932">
        <f>SUM(R64,R54)</f>
        <v>3959.9</v>
      </c>
      <c r="S65" s="932">
        <f>SUM(S64,S54)</f>
        <v>2870.6</v>
      </c>
      <c r="T65" s="934">
        <f>SUM(T64,T54)</f>
        <v>0</v>
      </c>
      <c r="U65" s="933">
        <f>U54+U64</f>
        <v>3969.7</v>
      </c>
      <c r="V65" s="932">
        <f>SUM(V64,V54)</f>
        <v>3969.7</v>
      </c>
      <c r="W65" s="932">
        <f>SUM(W64,W54)</f>
        <v>2870.6</v>
      </c>
      <c r="X65" s="934">
        <f>SUM(X64,X54)</f>
        <v>0</v>
      </c>
    </row>
    <row r="66" spans="1:30" s="815" customFormat="1" ht="15.75" customHeight="1" thickBot="1" x14ac:dyDescent="0.3">
      <c r="A66" s="935">
        <v>2</v>
      </c>
      <c r="B66" s="3600" t="s">
        <v>886</v>
      </c>
      <c r="C66" s="3601"/>
      <c r="D66" s="3601"/>
      <c r="E66" s="3601"/>
      <c r="F66" s="3601"/>
      <c r="G66" s="3601"/>
      <c r="H66" s="3601"/>
      <c r="I66" s="3601"/>
      <c r="J66" s="3601"/>
      <c r="K66" s="3601"/>
      <c r="L66" s="3601"/>
      <c r="M66" s="3601"/>
      <c r="N66" s="3601"/>
      <c r="O66" s="3601"/>
      <c r="P66" s="3601"/>
      <c r="Q66" s="3601"/>
      <c r="R66" s="3601"/>
      <c r="S66" s="3601"/>
      <c r="T66" s="3601"/>
      <c r="U66" s="3606"/>
      <c r="V66" s="3606"/>
      <c r="W66" s="3606"/>
      <c r="X66" s="3607"/>
    </row>
    <row r="67" spans="1:30" s="815" customFormat="1" ht="15.75" customHeight="1" thickBot="1" x14ac:dyDescent="0.3">
      <c r="A67" s="884">
        <v>2</v>
      </c>
      <c r="B67" s="2197">
        <v>1</v>
      </c>
      <c r="C67" s="3544" t="s">
        <v>887</v>
      </c>
      <c r="D67" s="3545"/>
      <c r="E67" s="3545"/>
      <c r="F67" s="3545"/>
      <c r="G67" s="3545"/>
      <c r="H67" s="3545"/>
      <c r="I67" s="3545"/>
      <c r="J67" s="3545"/>
      <c r="K67" s="3545"/>
      <c r="L67" s="3545"/>
      <c r="M67" s="3545"/>
      <c r="N67" s="3545"/>
      <c r="O67" s="3545"/>
      <c r="P67" s="3545"/>
      <c r="Q67" s="3545"/>
      <c r="R67" s="3545"/>
      <c r="S67" s="3545"/>
      <c r="T67" s="3545"/>
      <c r="U67" s="3606"/>
      <c r="V67" s="3606"/>
      <c r="W67" s="3606"/>
      <c r="X67" s="3607"/>
    </row>
    <row r="68" spans="1:30" s="815" customFormat="1" ht="21" customHeight="1" x14ac:dyDescent="0.2">
      <c r="A68" s="3565">
        <v>2</v>
      </c>
      <c r="B68" s="3578">
        <v>1</v>
      </c>
      <c r="C68" s="3555">
        <v>1</v>
      </c>
      <c r="D68" s="3580" t="s">
        <v>888</v>
      </c>
      <c r="E68" s="3621">
        <v>9</v>
      </c>
      <c r="F68" s="3555" t="s">
        <v>847</v>
      </c>
      <c r="G68" s="3574" t="s">
        <v>889</v>
      </c>
      <c r="H68" s="821" t="s">
        <v>30</v>
      </c>
      <c r="I68" s="936">
        <v>38.1</v>
      </c>
      <c r="J68" s="937"/>
      <c r="K68" s="2182"/>
      <c r="L68" s="2183">
        <v>38.1</v>
      </c>
      <c r="M68" s="938"/>
      <c r="N68" s="937"/>
      <c r="O68" s="2182"/>
      <c r="P68" s="2183"/>
      <c r="Q68" s="938"/>
      <c r="R68" s="937"/>
      <c r="S68" s="2182"/>
      <c r="T68" s="2183"/>
      <c r="U68" s="938"/>
      <c r="V68" s="937"/>
      <c r="W68" s="2182"/>
      <c r="X68" s="2183"/>
    </row>
    <row r="69" spans="1:30" s="815" customFormat="1" ht="20.25" customHeight="1" x14ac:dyDescent="0.2">
      <c r="A69" s="3577"/>
      <c r="B69" s="3579"/>
      <c r="C69" s="3553"/>
      <c r="D69" s="3537"/>
      <c r="E69" s="3622"/>
      <c r="F69" s="3553"/>
      <c r="G69" s="3575"/>
      <c r="H69" s="893" t="s">
        <v>112</v>
      </c>
      <c r="I69" s="939">
        <f t="shared" ref="I69:I71" si="15">J69+L69</f>
        <v>7.7</v>
      </c>
      <c r="J69" s="940"/>
      <c r="K69" s="822"/>
      <c r="L69" s="823">
        <v>7.7</v>
      </c>
      <c r="M69" s="941"/>
      <c r="N69" s="940"/>
      <c r="O69" s="822"/>
      <c r="P69" s="823"/>
      <c r="Q69" s="941"/>
      <c r="R69" s="940"/>
      <c r="S69" s="822"/>
      <c r="T69" s="823"/>
      <c r="U69" s="941"/>
      <c r="V69" s="940"/>
      <c r="W69" s="822"/>
      <c r="X69" s="823"/>
    </row>
    <row r="70" spans="1:30" s="815" customFormat="1" ht="17.25" customHeight="1" x14ac:dyDescent="0.2">
      <c r="A70" s="3577"/>
      <c r="B70" s="3579"/>
      <c r="C70" s="3553"/>
      <c r="D70" s="3537"/>
      <c r="E70" s="3622"/>
      <c r="F70" s="3516"/>
      <c r="G70" s="3575"/>
      <c r="H70" s="893" t="s">
        <v>111</v>
      </c>
      <c r="I70" s="825">
        <f t="shared" si="15"/>
        <v>43.4</v>
      </c>
      <c r="J70" s="940"/>
      <c r="K70" s="822"/>
      <c r="L70" s="823">
        <v>43.4</v>
      </c>
      <c r="M70" s="941"/>
      <c r="N70" s="940"/>
      <c r="O70" s="822"/>
      <c r="P70" s="823"/>
      <c r="Q70" s="941"/>
      <c r="R70" s="940"/>
      <c r="S70" s="822"/>
      <c r="T70" s="823"/>
      <c r="U70" s="941"/>
      <c r="V70" s="940"/>
      <c r="W70" s="822"/>
      <c r="X70" s="823"/>
    </row>
    <row r="71" spans="1:30" s="815" customFormat="1" ht="19.5" customHeight="1" thickBot="1" x14ac:dyDescent="0.25">
      <c r="A71" s="3577"/>
      <c r="B71" s="3579"/>
      <c r="C71" s="3553"/>
      <c r="D71" s="3537"/>
      <c r="E71" s="942" t="s">
        <v>852</v>
      </c>
      <c r="F71" s="943" t="s">
        <v>847</v>
      </c>
      <c r="G71" s="3575"/>
      <c r="H71" s="835" t="s">
        <v>30</v>
      </c>
      <c r="I71" s="913">
        <f t="shared" si="15"/>
        <v>40</v>
      </c>
      <c r="J71" s="944">
        <v>20</v>
      </c>
      <c r="K71" s="945"/>
      <c r="L71" s="946">
        <v>20</v>
      </c>
      <c r="M71" s="2363"/>
      <c r="N71" s="947"/>
      <c r="O71" s="948"/>
      <c r="P71" s="949"/>
      <c r="Q71" s="2363"/>
      <c r="R71" s="947"/>
      <c r="S71" s="948"/>
      <c r="T71" s="949"/>
      <c r="U71" s="2363"/>
      <c r="V71" s="947"/>
      <c r="W71" s="948"/>
      <c r="X71" s="949"/>
    </row>
    <row r="72" spans="1:30" s="815" customFormat="1" ht="16.350000000000001" customHeight="1" thickBot="1" x14ac:dyDescent="0.25">
      <c r="A72" s="3577"/>
      <c r="B72" s="3579"/>
      <c r="C72" s="3553"/>
      <c r="D72" s="3537"/>
      <c r="E72" s="950"/>
      <c r="F72" s="3556" t="s">
        <v>35</v>
      </c>
      <c r="G72" s="3557"/>
      <c r="H72" s="3558"/>
      <c r="I72" s="831">
        <f>I68+I69+I70+I71</f>
        <v>129.19999999999999</v>
      </c>
      <c r="J72" s="888">
        <f>J68+J69+J70+J71</f>
        <v>20</v>
      </c>
      <c r="K72" s="888"/>
      <c r="L72" s="889">
        <f>L68+L69+L70+L71</f>
        <v>109.2</v>
      </c>
      <c r="M72" s="831">
        <f t="shared" ref="M72" si="16">SUM(N72,P72)</f>
        <v>0</v>
      </c>
      <c r="N72" s="888">
        <f>SUM(N68:N70)</f>
        <v>0</v>
      </c>
      <c r="O72" s="888">
        <f>SUM(O68:O70)</f>
        <v>0</v>
      </c>
      <c r="P72" s="889">
        <f>SUM(P68:P70)</f>
        <v>0</v>
      </c>
      <c r="Q72" s="831">
        <f t="shared" ref="Q72" si="17">SUM(R72,T72)</f>
        <v>0</v>
      </c>
      <c r="R72" s="888">
        <f>SUM(R68:R70)</f>
        <v>0</v>
      </c>
      <c r="S72" s="888">
        <f>SUM(S68:S70)</f>
        <v>0</v>
      </c>
      <c r="T72" s="889">
        <f>SUM(T68:T70)</f>
        <v>0</v>
      </c>
      <c r="U72" s="831">
        <f t="shared" ref="U72" si="18">SUM(V72,X72)</f>
        <v>0</v>
      </c>
      <c r="V72" s="888">
        <f>SUM(V68:V70)</f>
        <v>0</v>
      </c>
      <c r="W72" s="888">
        <f>SUM(W68:W70)</f>
        <v>0</v>
      </c>
      <c r="X72" s="889">
        <f>SUM(X68:X70)</f>
        <v>0</v>
      </c>
    </row>
    <row r="73" spans="1:30" s="815" customFormat="1" ht="18.75" customHeight="1" x14ac:dyDescent="0.2">
      <c r="A73" s="3565">
        <v>2</v>
      </c>
      <c r="B73" s="3578">
        <v>1</v>
      </c>
      <c r="C73" s="3555">
        <v>2</v>
      </c>
      <c r="D73" s="3593" t="s">
        <v>890</v>
      </c>
      <c r="E73" s="3621">
        <v>9</v>
      </c>
      <c r="F73" s="3624" t="s">
        <v>847</v>
      </c>
      <c r="G73" s="3624" t="s">
        <v>891</v>
      </c>
      <c r="H73" s="951" t="s">
        <v>30</v>
      </c>
      <c r="I73" s="874">
        <f t="shared" ref="I73" si="19">J73+L73</f>
        <v>0</v>
      </c>
      <c r="J73" s="873"/>
      <c r="K73" s="873"/>
      <c r="L73" s="848">
        <f>245-245</f>
        <v>0</v>
      </c>
      <c r="M73" s="874" t="s">
        <v>892</v>
      </c>
      <c r="N73" s="2182"/>
      <c r="O73" s="2182"/>
      <c r="P73" s="2183">
        <v>319.7</v>
      </c>
      <c r="Q73" s="2181">
        <v>245</v>
      </c>
      <c r="R73" s="2182"/>
      <c r="S73" s="2182"/>
      <c r="T73" s="2183">
        <v>245</v>
      </c>
      <c r="U73" s="2181"/>
      <c r="V73" s="2182"/>
      <c r="W73" s="2182"/>
      <c r="X73" s="2183"/>
      <c r="Z73" s="952"/>
      <c r="AC73" s="952"/>
      <c r="AD73" s="952"/>
    </row>
    <row r="74" spans="1:30" s="815" customFormat="1" ht="18.75" customHeight="1" x14ac:dyDescent="0.2">
      <c r="A74" s="3577"/>
      <c r="B74" s="3579"/>
      <c r="C74" s="3553"/>
      <c r="D74" s="3594"/>
      <c r="E74" s="3622"/>
      <c r="F74" s="3625"/>
      <c r="G74" s="3625"/>
      <c r="H74" s="907" t="s">
        <v>116</v>
      </c>
      <c r="I74" s="978"/>
      <c r="J74" s="953"/>
      <c r="K74" s="879"/>
      <c r="L74" s="954"/>
      <c r="M74" s="1536">
        <v>300</v>
      </c>
      <c r="N74" s="1537"/>
      <c r="O74" s="1537"/>
      <c r="P74" s="1538">
        <v>300</v>
      </c>
      <c r="Q74" s="824"/>
      <c r="R74" s="822"/>
      <c r="S74" s="822"/>
      <c r="T74" s="823"/>
      <c r="U74" s="824"/>
      <c r="V74" s="822"/>
      <c r="W74" s="822"/>
      <c r="X74" s="823"/>
      <c r="Z74" s="952"/>
      <c r="AC74" s="952"/>
      <c r="AD74" s="952"/>
    </row>
    <row r="75" spans="1:30" s="815" customFormat="1" ht="18.75" customHeight="1" x14ac:dyDescent="0.2">
      <c r="A75" s="3577"/>
      <c r="B75" s="3579"/>
      <c r="C75" s="3553"/>
      <c r="D75" s="3594"/>
      <c r="E75" s="3622"/>
      <c r="F75" s="3625"/>
      <c r="G75" s="3625"/>
      <c r="H75" s="907" t="s">
        <v>112</v>
      </c>
      <c r="I75" s="878"/>
      <c r="J75" s="953"/>
      <c r="K75" s="879"/>
      <c r="L75" s="954"/>
      <c r="M75" s="824">
        <v>20.399999999999999</v>
      </c>
      <c r="N75" s="822"/>
      <c r="O75" s="822"/>
      <c r="P75" s="823">
        <v>20.399999999999999</v>
      </c>
      <c r="Q75" s="824"/>
      <c r="R75" s="822"/>
      <c r="S75" s="822"/>
      <c r="T75" s="823"/>
      <c r="U75" s="824"/>
      <c r="V75" s="822"/>
      <c r="W75" s="822"/>
      <c r="X75" s="823"/>
      <c r="Z75" s="952"/>
      <c r="AC75" s="952"/>
      <c r="AD75" s="952"/>
    </row>
    <row r="76" spans="1:30" s="815" customFormat="1" ht="19.5" customHeight="1" x14ac:dyDescent="0.2">
      <c r="A76" s="3577"/>
      <c r="B76" s="3579"/>
      <c r="C76" s="3553"/>
      <c r="D76" s="3594"/>
      <c r="E76" s="3622"/>
      <c r="F76" s="3625"/>
      <c r="G76" s="3625"/>
      <c r="H76" s="955" t="s">
        <v>111</v>
      </c>
      <c r="I76" s="878"/>
      <c r="J76" s="953"/>
      <c r="K76" s="879"/>
      <c r="L76" s="954"/>
      <c r="M76" s="824">
        <v>115.1</v>
      </c>
      <c r="N76" s="822"/>
      <c r="O76" s="822"/>
      <c r="P76" s="823">
        <v>115.1</v>
      </c>
      <c r="Q76" s="824"/>
      <c r="R76" s="822"/>
      <c r="S76" s="822"/>
      <c r="T76" s="823"/>
      <c r="U76" s="824"/>
      <c r="V76" s="822"/>
      <c r="W76" s="822"/>
      <c r="X76" s="823"/>
      <c r="Z76" s="952"/>
      <c r="AC76" s="952"/>
      <c r="AD76" s="952"/>
    </row>
    <row r="77" spans="1:30" s="815" customFormat="1" ht="19.5" customHeight="1" thickBot="1" x14ac:dyDescent="0.25">
      <c r="A77" s="3577"/>
      <c r="B77" s="3579"/>
      <c r="C77" s="3553"/>
      <c r="D77" s="3594"/>
      <c r="E77" s="3623"/>
      <c r="F77" s="3625"/>
      <c r="G77" s="3625"/>
      <c r="H77" s="955" t="s">
        <v>32</v>
      </c>
      <c r="I77" s="878">
        <f>J77+L77</f>
        <v>0.80000000000001137</v>
      </c>
      <c r="J77" s="840"/>
      <c r="K77" s="822"/>
      <c r="L77" s="823">
        <f>245.8-245</f>
        <v>0.80000000000001137</v>
      </c>
      <c r="M77" s="824"/>
      <c r="N77" s="822"/>
      <c r="O77" s="822"/>
      <c r="P77" s="823"/>
      <c r="Q77" s="824"/>
      <c r="R77" s="822"/>
      <c r="S77" s="822"/>
      <c r="T77" s="823"/>
      <c r="U77" s="824"/>
      <c r="V77" s="822"/>
      <c r="W77" s="822"/>
      <c r="X77" s="823"/>
    </row>
    <row r="78" spans="1:30" s="815" customFormat="1" ht="13.5" customHeight="1" thickBot="1" x14ac:dyDescent="0.25">
      <c r="A78" s="3547"/>
      <c r="B78" s="3549"/>
      <c r="C78" s="3516"/>
      <c r="D78" s="3595"/>
      <c r="E78" s="956"/>
      <c r="F78" s="3626" t="s">
        <v>35</v>
      </c>
      <c r="G78" s="3627"/>
      <c r="H78" s="3628"/>
      <c r="I78" s="831">
        <f t="shared" ref="I78:I81" si="20">J78+L78</f>
        <v>0.80000000000001137</v>
      </c>
      <c r="J78" s="888">
        <f>J76+J75+J73+J77</f>
        <v>0</v>
      </c>
      <c r="K78" s="888">
        <f t="shared" ref="K78:L78" si="21">K76+K75+K73+K77</f>
        <v>0</v>
      </c>
      <c r="L78" s="888">
        <f t="shared" si="21"/>
        <v>0.80000000000001137</v>
      </c>
      <c r="M78" s="831">
        <f>SUM(N78,P78)</f>
        <v>755.2</v>
      </c>
      <c r="N78" s="888">
        <f>N76+N75+N73+N77</f>
        <v>0</v>
      </c>
      <c r="O78" s="888">
        <f t="shared" ref="O78" si="22">O76+O75+O73+O77</f>
        <v>0</v>
      </c>
      <c r="P78" s="888">
        <f>P76+P75+P74+P73</f>
        <v>755.2</v>
      </c>
      <c r="Q78" s="831">
        <f t="shared" ref="Q78" si="23">SUM(R78,T78)</f>
        <v>245</v>
      </c>
      <c r="R78" s="888">
        <f>R76+R75+R73+R77</f>
        <v>0</v>
      </c>
      <c r="S78" s="888">
        <f t="shared" ref="S78:T78" si="24">S76+S75+S73+S77</f>
        <v>0</v>
      </c>
      <c r="T78" s="888">
        <f t="shared" si="24"/>
        <v>245</v>
      </c>
      <c r="U78" s="831">
        <f t="shared" ref="U78" si="25">SUM(V78,X78)</f>
        <v>0</v>
      </c>
      <c r="V78" s="888">
        <f>V76+V75+V73+V77</f>
        <v>0</v>
      </c>
      <c r="W78" s="888">
        <f t="shared" ref="W78:X78" si="26">W76+W75+W73+W77</f>
        <v>0</v>
      </c>
      <c r="X78" s="889">
        <f t="shared" si="26"/>
        <v>0</v>
      </c>
    </row>
    <row r="79" spans="1:30" s="815" customFormat="1" ht="28.5" customHeight="1" x14ac:dyDescent="0.2">
      <c r="A79" s="3565">
        <v>2</v>
      </c>
      <c r="B79" s="3578">
        <v>1</v>
      </c>
      <c r="C79" s="3555">
        <v>3</v>
      </c>
      <c r="D79" s="3593" t="s">
        <v>893</v>
      </c>
      <c r="E79" s="3591">
        <v>9</v>
      </c>
      <c r="F79" s="3553" t="s">
        <v>847</v>
      </c>
      <c r="G79" s="3553" t="s">
        <v>894</v>
      </c>
      <c r="H79" s="1517" t="s">
        <v>30</v>
      </c>
      <c r="I79" s="2181">
        <v>4.0999999999999996</v>
      </c>
      <c r="J79" s="2182"/>
      <c r="K79" s="2182"/>
      <c r="L79" s="2183">
        <v>4.0999999999999996</v>
      </c>
      <c r="M79" s="836">
        <f>N79+P79</f>
        <v>250</v>
      </c>
      <c r="N79" s="826"/>
      <c r="O79" s="826"/>
      <c r="P79" s="827">
        <v>250</v>
      </c>
      <c r="Q79" s="836">
        <v>1718</v>
      </c>
      <c r="R79" s="826"/>
      <c r="S79" s="826"/>
      <c r="T79" s="827">
        <f>1468+250</f>
        <v>1718</v>
      </c>
      <c r="U79" s="836"/>
      <c r="V79" s="826"/>
      <c r="W79" s="826"/>
      <c r="X79" s="827"/>
    </row>
    <row r="80" spans="1:30" s="815" customFormat="1" ht="20.25" customHeight="1" x14ac:dyDescent="0.2">
      <c r="A80" s="3577"/>
      <c r="B80" s="3579"/>
      <c r="C80" s="3553"/>
      <c r="D80" s="3594"/>
      <c r="E80" s="3582"/>
      <c r="F80" s="3553"/>
      <c r="G80" s="3582"/>
      <c r="H80" s="849" t="s">
        <v>116</v>
      </c>
      <c r="I80" s="825"/>
      <c r="J80" s="958"/>
      <c r="K80" s="958"/>
      <c r="L80" s="959"/>
      <c r="M80" s="836">
        <v>400</v>
      </c>
      <c r="N80" s="958"/>
      <c r="O80" s="958"/>
      <c r="P80" s="959">
        <v>400</v>
      </c>
      <c r="Q80" s="960"/>
      <c r="R80" s="958"/>
      <c r="S80" s="958"/>
      <c r="T80" s="959"/>
      <c r="U80" s="960"/>
      <c r="V80" s="958"/>
      <c r="W80" s="958"/>
      <c r="X80" s="959"/>
    </row>
    <row r="81" spans="1:26" s="815" customFormat="1" ht="28.5" customHeight="1" thickBot="1" x14ac:dyDescent="0.25">
      <c r="A81" s="3577"/>
      <c r="B81" s="3579"/>
      <c r="C81" s="3553"/>
      <c r="D81" s="3594"/>
      <c r="E81" s="3582"/>
      <c r="F81" s="3620"/>
      <c r="G81" s="3620"/>
      <c r="H81" s="1518" t="s">
        <v>192</v>
      </c>
      <c r="I81" s="854">
        <f t="shared" si="20"/>
        <v>0</v>
      </c>
      <c r="J81" s="855"/>
      <c r="K81" s="855"/>
      <c r="L81" s="856">
        <f>200-200</f>
        <v>0</v>
      </c>
      <c r="M81" s="836">
        <f t="shared" ref="M81" si="27">N81+P81</f>
        <v>957</v>
      </c>
      <c r="N81" s="958"/>
      <c r="O81" s="958"/>
      <c r="P81" s="959">
        <f>757+200</f>
        <v>957</v>
      </c>
      <c r="Q81" s="960">
        <v>150</v>
      </c>
      <c r="R81" s="958"/>
      <c r="S81" s="958"/>
      <c r="T81" s="959">
        <v>150</v>
      </c>
      <c r="U81" s="960"/>
      <c r="V81" s="958"/>
      <c r="W81" s="958"/>
      <c r="X81" s="959"/>
    </row>
    <row r="82" spans="1:26" s="815" customFormat="1" ht="16.5" customHeight="1" thickBot="1" x14ac:dyDescent="0.25">
      <c r="A82" s="3547"/>
      <c r="B82" s="3549"/>
      <c r="C82" s="3516"/>
      <c r="D82" s="3595"/>
      <c r="E82" s="3619"/>
      <c r="F82" s="3613" t="s">
        <v>35</v>
      </c>
      <c r="G82" s="3614"/>
      <c r="H82" s="3615"/>
      <c r="I82" s="831">
        <f>SUM(J82,L82)</f>
        <v>4.0999999999999996</v>
      </c>
      <c r="J82" s="888">
        <f>J79+J81</f>
        <v>0</v>
      </c>
      <c r="K82" s="888">
        <f>K79+K81</f>
        <v>0</v>
      </c>
      <c r="L82" s="889">
        <f>SUM(L79:L81)</f>
        <v>4.0999999999999996</v>
      </c>
      <c r="M82" s="831">
        <f>SUM(N82,P82)</f>
        <v>1607</v>
      </c>
      <c r="N82" s="888">
        <f>N79+N81+N71</f>
        <v>0</v>
      </c>
      <c r="O82" s="888">
        <f>O79+O81</f>
        <v>0</v>
      </c>
      <c r="P82" s="889">
        <f>SUM(P79:P81)</f>
        <v>1607</v>
      </c>
      <c r="Q82" s="831">
        <f>SUM(R82,T82)</f>
        <v>1868</v>
      </c>
      <c r="R82" s="888">
        <f>R79+R81+R71</f>
        <v>0</v>
      </c>
      <c r="S82" s="888">
        <f>S79+S81</f>
        <v>0</v>
      </c>
      <c r="T82" s="889">
        <f>SUM(T79:T81)</f>
        <v>1868</v>
      </c>
      <c r="U82" s="831">
        <f>SUM(V82,X82)</f>
        <v>0</v>
      </c>
      <c r="V82" s="888">
        <f>V79+V81+V71</f>
        <v>0</v>
      </c>
      <c r="W82" s="888">
        <f>W79+W81</f>
        <v>0</v>
      </c>
      <c r="X82" s="889">
        <f>SUM(X79:X81)</f>
        <v>0</v>
      </c>
    </row>
    <row r="83" spans="1:26" s="815" customFormat="1" ht="28.5" customHeight="1" thickBot="1" x14ac:dyDescent="0.25">
      <c r="A83" s="3565">
        <v>2</v>
      </c>
      <c r="B83" s="3578">
        <v>1</v>
      </c>
      <c r="C83" s="3553">
        <v>4</v>
      </c>
      <c r="D83" s="3594" t="s">
        <v>895</v>
      </c>
      <c r="E83" s="3617">
        <v>9</v>
      </c>
      <c r="F83" s="961" t="s">
        <v>847</v>
      </c>
      <c r="G83" s="961" t="s">
        <v>896</v>
      </c>
      <c r="H83" s="962" t="s">
        <v>30</v>
      </c>
      <c r="I83" s="963">
        <f t="shared" ref="I83" si="28">J83+L83</f>
        <v>0</v>
      </c>
      <c r="J83" s="964"/>
      <c r="K83" s="965"/>
      <c r="L83" s="966"/>
      <c r="M83" s="963"/>
      <c r="N83" s="964"/>
      <c r="O83" s="965"/>
      <c r="P83" s="966"/>
      <c r="Q83" s="963">
        <v>30</v>
      </c>
      <c r="R83" s="964"/>
      <c r="S83" s="965"/>
      <c r="T83" s="966">
        <v>30</v>
      </c>
      <c r="U83" s="963">
        <f>V83+X83</f>
        <v>0</v>
      </c>
      <c r="V83" s="964"/>
      <c r="W83" s="965"/>
      <c r="X83" s="2364"/>
    </row>
    <row r="84" spans="1:26" s="815" customFormat="1" ht="16.5" customHeight="1" thickBot="1" x14ac:dyDescent="0.25">
      <c r="A84" s="3547"/>
      <c r="B84" s="3549"/>
      <c r="C84" s="3588"/>
      <c r="D84" s="3616"/>
      <c r="E84" s="3618"/>
      <c r="F84" s="3613" t="s">
        <v>35</v>
      </c>
      <c r="G84" s="3614"/>
      <c r="H84" s="3615"/>
      <c r="I84" s="831">
        <f>SUM(J84,L84)</f>
        <v>0</v>
      </c>
      <c r="J84" s="888">
        <f>J83</f>
        <v>0</v>
      </c>
      <c r="K84" s="888">
        <f>K83</f>
        <v>0</v>
      </c>
      <c r="L84" s="889">
        <f>SUM(L83:L83)</f>
        <v>0</v>
      </c>
      <c r="M84" s="831">
        <f>SUM(N84,P84)</f>
        <v>0</v>
      </c>
      <c r="N84" s="888">
        <f>N83</f>
        <v>0</v>
      </c>
      <c r="O84" s="888">
        <f>O83</f>
        <v>0</v>
      </c>
      <c r="P84" s="889">
        <f>SUM(P83:P83)</f>
        <v>0</v>
      </c>
      <c r="Q84" s="831">
        <f>SUM(R84,T84)</f>
        <v>30</v>
      </c>
      <c r="R84" s="888">
        <f>R83</f>
        <v>0</v>
      </c>
      <c r="S84" s="888">
        <f>S83</f>
        <v>0</v>
      </c>
      <c r="T84" s="889">
        <f>SUM(T83:T83)</f>
        <v>30</v>
      </c>
      <c r="U84" s="831">
        <f>SUM(V84,X84)</f>
        <v>0</v>
      </c>
      <c r="V84" s="888">
        <f>V83</f>
        <v>0</v>
      </c>
      <c r="W84" s="888">
        <f>W83</f>
        <v>0</v>
      </c>
      <c r="X84" s="889">
        <f>SUM(X83:X83)</f>
        <v>0</v>
      </c>
    </row>
    <row r="85" spans="1:26" s="815" customFormat="1" ht="23.25" customHeight="1" thickBot="1" x14ac:dyDescent="0.25">
      <c r="A85" s="2184">
        <v>2</v>
      </c>
      <c r="B85" s="967">
        <v>1</v>
      </c>
      <c r="C85" s="3610" t="s">
        <v>234</v>
      </c>
      <c r="D85" s="3611"/>
      <c r="E85" s="3611"/>
      <c r="F85" s="3611"/>
      <c r="G85" s="3611"/>
      <c r="H85" s="3612"/>
      <c r="I85" s="925">
        <f>I72+I78+I82+I84</f>
        <v>134.1</v>
      </c>
      <c r="J85" s="926">
        <f>J72+J78+J82+J84</f>
        <v>20</v>
      </c>
      <c r="K85" s="926">
        <f>K82+K78+K72+K84</f>
        <v>0</v>
      </c>
      <c r="L85" s="926">
        <f>L72+L78+L82+L84</f>
        <v>114.10000000000001</v>
      </c>
      <c r="M85" s="925">
        <f>M72+M78+M82+M84</f>
        <v>2362.1999999999998</v>
      </c>
      <c r="N85" s="926">
        <f>N82+N78+N72+N84</f>
        <v>0</v>
      </c>
      <c r="O85" s="926">
        <f>O82+O78+O72+O84</f>
        <v>0</v>
      </c>
      <c r="P85" s="926">
        <f>P72+P78+P82+P84</f>
        <v>2362.1999999999998</v>
      </c>
      <c r="Q85" s="925">
        <f>Q72+Q78+Q82+Q84</f>
        <v>2143</v>
      </c>
      <c r="R85" s="926">
        <f>SUM(R82,R78,R72)</f>
        <v>0</v>
      </c>
      <c r="S85" s="926">
        <f>SUM(S82,S78,S72)</f>
        <v>0</v>
      </c>
      <c r="T85" s="968">
        <f>T72+T78+T82+T84</f>
        <v>2143</v>
      </c>
      <c r="U85" s="925">
        <f t="shared" ref="U85:U86" si="29">SUM(V85,X85)</f>
        <v>0</v>
      </c>
      <c r="V85" s="926">
        <f>SUM(V82,V78,V72)</f>
        <v>0</v>
      </c>
      <c r="W85" s="926">
        <f>SUM(W82,W78,W72)</f>
        <v>0</v>
      </c>
      <c r="X85" s="968">
        <f>SUM(X82,X78,X72)</f>
        <v>0</v>
      </c>
    </row>
    <row r="86" spans="1:26" s="815" customFormat="1" ht="23.25" customHeight="1" thickBot="1" x14ac:dyDescent="0.25">
      <c r="A86" s="929">
        <v>2</v>
      </c>
      <c r="B86" s="3520" t="s">
        <v>167</v>
      </c>
      <c r="C86" s="3521"/>
      <c r="D86" s="3521"/>
      <c r="E86" s="3521"/>
      <c r="F86" s="3521"/>
      <c r="G86" s="3521"/>
      <c r="H86" s="3522"/>
      <c r="I86" s="933">
        <f>SUM(J86,L86)</f>
        <v>134.10000000000002</v>
      </c>
      <c r="J86" s="932">
        <f>SUM(J85)</f>
        <v>20</v>
      </c>
      <c r="K86" s="932">
        <f>SUM(K85)</f>
        <v>0</v>
      </c>
      <c r="L86" s="934">
        <f>SUM(L85)</f>
        <v>114.10000000000001</v>
      </c>
      <c r="M86" s="933">
        <f>SUM(N86,P86)</f>
        <v>2362.1999999999998</v>
      </c>
      <c r="N86" s="932">
        <f>SUM(N85)</f>
        <v>0</v>
      </c>
      <c r="O86" s="932">
        <f>SUM(O85)</f>
        <v>0</v>
      </c>
      <c r="P86" s="934">
        <f>SUM(P85)</f>
        <v>2362.1999999999998</v>
      </c>
      <c r="Q86" s="933">
        <f t="shared" ref="Q86" si="30">SUM(R86,T86)</f>
        <v>2143</v>
      </c>
      <c r="R86" s="932">
        <f>SUM(R85)</f>
        <v>0</v>
      </c>
      <c r="S86" s="932">
        <f>SUM(S85)</f>
        <v>0</v>
      </c>
      <c r="T86" s="934">
        <f>SUM(T85)</f>
        <v>2143</v>
      </c>
      <c r="U86" s="933">
        <f t="shared" si="29"/>
        <v>0</v>
      </c>
      <c r="V86" s="932">
        <f>SUM(V85)</f>
        <v>0</v>
      </c>
      <c r="W86" s="932">
        <f>SUM(W85)</f>
        <v>0</v>
      </c>
      <c r="X86" s="934">
        <f>SUM(X85)</f>
        <v>0</v>
      </c>
    </row>
    <row r="87" spans="1:26" s="815" customFormat="1" ht="23.25" customHeight="1" thickBot="1" x14ac:dyDescent="0.25">
      <c r="A87" s="935">
        <v>3</v>
      </c>
      <c r="B87" s="3600" t="s">
        <v>897</v>
      </c>
      <c r="C87" s="3601"/>
      <c r="D87" s="3601"/>
      <c r="E87" s="3601"/>
      <c r="F87" s="3601"/>
      <c r="G87" s="3601"/>
      <c r="H87" s="3601"/>
      <c r="I87" s="3601"/>
      <c r="J87" s="3601"/>
      <c r="K87" s="3601"/>
      <c r="L87" s="3601"/>
      <c r="M87" s="3601"/>
      <c r="N87" s="3601"/>
      <c r="O87" s="3601"/>
      <c r="P87" s="3601"/>
      <c r="Q87" s="3601"/>
      <c r="R87" s="3601"/>
      <c r="S87" s="3601"/>
      <c r="T87" s="3601"/>
      <c r="U87" s="3601"/>
      <c r="V87" s="3601"/>
      <c r="W87" s="3601"/>
      <c r="X87" s="3602"/>
    </row>
    <row r="88" spans="1:26" s="815" customFormat="1" ht="23.25" customHeight="1" thickBot="1" x14ac:dyDescent="0.25">
      <c r="A88" s="884">
        <v>3</v>
      </c>
      <c r="B88" s="2197">
        <v>1</v>
      </c>
      <c r="C88" s="3544" t="s">
        <v>898</v>
      </c>
      <c r="D88" s="3545"/>
      <c r="E88" s="3545"/>
      <c r="F88" s="3545"/>
      <c r="G88" s="3545"/>
      <c r="H88" s="3545"/>
      <c r="I88" s="3545"/>
      <c r="J88" s="3545"/>
      <c r="K88" s="3545"/>
      <c r="L88" s="3545"/>
      <c r="M88" s="3545"/>
      <c r="N88" s="3545"/>
      <c r="O88" s="3545"/>
      <c r="P88" s="3545"/>
      <c r="Q88" s="3545"/>
      <c r="R88" s="3545"/>
      <c r="S88" s="3545"/>
      <c r="T88" s="3545"/>
      <c r="U88" s="3545"/>
      <c r="V88" s="3545"/>
      <c r="W88" s="3545"/>
      <c r="X88" s="3546"/>
    </row>
    <row r="89" spans="1:26" s="815" customFormat="1" ht="17.25" customHeight="1" thickBot="1" x14ac:dyDescent="0.25">
      <c r="A89" s="3565">
        <v>3</v>
      </c>
      <c r="B89" s="3578">
        <v>1</v>
      </c>
      <c r="C89" s="3553">
        <v>1</v>
      </c>
      <c r="D89" s="3537" t="s">
        <v>899</v>
      </c>
      <c r="E89" s="3582">
        <v>7</v>
      </c>
      <c r="F89" s="969" t="s">
        <v>876</v>
      </c>
      <c r="G89" s="2365" t="s">
        <v>900</v>
      </c>
      <c r="H89" s="970" t="s">
        <v>30</v>
      </c>
      <c r="I89" s="824">
        <v>15</v>
      </c>
      <c r="J89" s="971">
        <v>15</v>
      </c>
      <c r="K89" s="971"/>
      <c r="L89" s="972"/>
      <c r="M89" s="824">
        <v>39</v>
      </c>
      <c r="N89" s="971">
        <v>39</v>
      </c>
      <c r="O89" s="971">
        <v>0</v>
      </c>
      <c r="P89" s="972">
        <v>0</v>
      </c>
      <c r="Q89" s="824">
        <v>42</v>
      </c>
      <c r="R89" s="971">
        <v>42</v>
      </c>
      <c r="S89" s="971">
        <v>0</v>
      </c>
      <c r="T89" s="972">
        <v>0</v>
      </c>
      <c r="U89" s="824">
        <v>56.5</v>
      </c>
      <c r="V89" s="971">
        <v>56.5</v>
      </c>
      <c r="W89" s="971">
        <v>0</v>
      </c>
      <c r="X89" s="972">
        <v>0</v>
      </c>
    </row>
    <row r="90" spans="1:26" s="815" customFormat="1" ht="18.75" customHeight="1" thickBot="1" x14ac:dyDescent="0.25">
      <c r="A90" s="3577"/>
      <c r="B90" s="3579"/>
      <c r="C90" s="3553"/>
      <c r="D90" s="3537"/>
      <c r="E90" s="3582"/>
      <c r="F90" s="3556" t="s">
        <v>35</v>
      </c>
      <c r="G90" s="3557"/>
      <c r="H90" s="3558"/>
      <c r="I90" s="831">
        <f>I89</f>
        <v>15</v>
      </c>
      <c r="J90" s="888">
        <f>J89</f>
        <v>15</v>
      </c>
      <c r="K90" s="888"/>
      <c r="L90" s="889"/>
      <c r="M90" s="831">
        <f>M89</f>
        <v>39</v>
      </c>
      <c r="N90" s="888">
        <f>N89</f>
        <v>39</v>
      </c>
      <c r="O90" s="888">
        <f>SUM(O89)</f>
        <v>0</v>
      </c>
      <c r="P90" s="889">
        <f>SUM(P89)</f>
        <v>0</v>
      </c>
      <c r="Q90" s="831">
        <f>Q89</f>
        <v>42</v>
      </c>
      <c r="R90" s="888">
        <f>R89</f>
        <v>42</v>
      </c>
      <c r="S90" s="888">
        <f>SUM(S89)</f>
        <v>0</v>
      </c>
      <c r="T90" s="889">
        <f>SUM(T89)</f>
        <v>0</v>
      </c>
      <c r="U90" s="831">
        <f>U89</f>
        <v>56.5</v>
      </c>
      <c r="V90" s="888">
        <f>V89</f>
        <v>56.5</v>
      </c>
      <c r="W90" s="888">
        <f>SUM(W89)</f>
        <v>0</v>
      </c>
      <c r="X90" s="889">
        <f>SUM(X89)</f>
        <v>0</v>
      </c>
    </row>
    <row r="91" spans="1:26" s="815" customFormat="1" ht="27" customHeight="1" thickBot="1" x14ac:dyDescent="0.25">
      <c r="A91" s="3565">
        <v>3</v>
      </c>
      <c r="B91" s="3578">
        <v>1</v>
      </c>
      <c r="C91" s="3555">
        <v>2</v>
      </c>
      <c r="D91" s="3580" t="s">
        <v>901</v>
      </c>
      <c r="E91" s="3591">
        <v>7</v>
      </c>
      <c r="F91" s="2193" t="s">
        <v>902</v>
      </c>
      <c r="G91" s="2193" t="s">
        <v>903</v>
      </c>
      <c r="H91" s="973" t="s">
        <v>30</v>
      </c>
      <c r="I91" s="2181">
        <v>1.8</v>
      </c>
      <c r="J91" s="2182">
        <v>1.8</v>
      </c>
      <c r="K91" s="2182">
        <v>0</v>
      </c>
      <c r="L91" s="2183">
        <v>0</v>
      </c>
      <c r="M91" s="2181">
        <v>2.2999999999999998</v>
      </c>
      <c r="N91" s="2182">
        <v>2.2999999999999998</v>
      </c>
      <c r="O91" s="2182">
        <v>0</v>
      </c>
      <c r="P91" s="2183">
        <v>0</v>
      </c>
      <c r="Q91" s="2181">
        <v>2.8</v>
      </c>
      <c r="R91" s="2182">
        <v>2.8</v>
      </c>
      <c r="S91" s="2182">
        <v>0</v>
      </c>
      <c r="T91" s="2183">
        <v>0</v>
      </c>
      <c r="U91" s="2181">
        <v>2.8</v>
      </c>
      <c r="V91" s="2182">
        <v>2.8</v>
      </c>
      <c r="W91" s="2182">
        <v>0</v>
      </c>
      <c r="X91" s="2183">
        <v>0</v>
      </c>
    </row>
    <row r="92" spans="1:26" s="815" customFormat="1" ht="32.25" customHeight="1" thickBot="1" x14ac:dyDescent="0.25">
      <c r="A92" s="3577"/>
      <c r="B92" s="3579"/>
      <c r="C92" s="3553"/>
      <c r="D92" s="3537"/>
      <c r="E92" s="3582"/>
      <c r="F92" s="3556" t="s">
        <v>35</v>
      </c>
      <c r="G92" s="3557"/>
      <c r="H92" s="3558"/>
      <c r="I92" s="831">
        <f t="shared" ref="I92" si="31">SUM(J92,L92)</f>
        <v>1.8</v>
      </c>
      <c r="J92" s="888">
        <f>SUM(J91)</f>
        <v>1.8</v>
      </c>
      <c r="K92" s="888">
        <f>SUM(K91)</f>
        <v>0</v>
      </c>
      <c r="L92" s="889">
        <f>SUM(L91)</f>
        <v>0</v>
      </c>
      <c r="M92" s="831">
        <f t="shared" ref="M92" si="32">SUM(N92,P92)</f>
        <v>2.2999999999999998</v>
      </c>
      <c r="N92" s="888">
        <f>SUM(N91)</f>
        <v>2.2999999999999998</v>
      </c>
      <c r="O92" s="888">
        <f>SUM(O91)</f>
        <v>0</v>
      </c>
      <c r="P92" s="889">
        <f>SUM(P91)</f>
        <v>0</v>
      </c>
      <c r="Q92" s="831">
        <f t="shared" ref="Q92" si="33">SUM(R92,T92)</f>
        <v>2.8</v>
      </c>
      <c r="R92" s="888">
        <f>SUM(R91)</f>
        <v>2.8</v>
      </c>
      <c r="S92" s="888">
        <f>SUM(S91)</f>
        <v>0</v>
      </c>
      <c r="T92" s="889">
        <f>SUM(T91)</f>
        <v>0</v>
      </c>
      <c r="U92" s="831">
        <f t="shared" ref="U92" si="34">SUM(V92,X92)</f>
        <v>2.8</v>
      </c>
      <c r="V92" s="888">
        <f>SUM(V91)</f>
        <v>2.8</v>
      </c>
      <c r="W92" s="888">
        <f>SUM(W91)</f>
        <v>0</v>
      </c>
      <c r="X92" s="889">
        <f>SUM(X91)</f>
        <v>0</v>
      </c>
    </row>
    <row r="93" spans="1:26" ht="18.75" customHeight="1" thickBot="1" x14ac:dyDescent="0.3">
      <c r="A93" s="2187">
        <v>3</v>
      </c>
      <c r="B93" s="881">
        <v>1</v>
      </c>
      <c r="C93" s="3596" t="s">
        <v>234</v>
      </c>
      <c r="D93" s="3597"/>
      <c r="E93" s="3597"/>
      <c r="F93" s="3597"/>
      <c r="G93" s="3597"/>
      <c r="H93" s="3605"/>
      <c r="I93" s="974">
        <f>I90+I92</f>
        <v>16.8</v>
      </c>
      <c r="J93" s="975">
        <f>J90+J92</f>
        <v>16.8</v>
      </c>
      <c r="K93" s="975">
        <f>SUM(,K92,K90,)</f>
        <v>0</v>
      </c>
      <c r="L93" s="976">
        <f>SUM(,L92,L90,)</f>
        <v>0</v>
      </c>
      <c r="M93" s="974">
        <f>M90+M92</f>
        <v>41.3</v>
      </c>
      <c r="N93" s="975">
        <f>N90+N92</f>
        <v>41.3</v>
      </c>
      <c r="O93" s="975">
        <f>SUM(O92,O90,)</f>
        <v>0</v>
      </c>
      <c r="P93" s="976">
        <f>SUM(,P92,P90,)</f>
        <v>0</v>
      </c>
      <c r="Q93" s="974">
        <f>Q90+Q92</f>
        <v>44.8</v>
      </c>
      <c r="R93" s="975">
        <f>R90+R92</f>
        <v>44.8</v>
      </c>
      <c r="S93" s="975">
        <f>SUM(,S92,S90,)</f>
        <v>0</v>
      </c>
      <c r="T93" s="976">
        <f>SUM(,T92,T90,)</f>
        <v>0</v>
      </c>
      <c r="U93" s="974">
        <f>U90+U92</f>
        <v>59.3</v>
      </c>
      <c r="V93" s="975">
        <f>V90+V92</f>
        <v>59.3</v>
      </c>
      <c r="W93" s="975">
        <f>SUM(,W92,W90,)</f>
        <v>0</v>
      </c>
      <c r="X93" s="976">
        <f>SUM(,X92,X90,)</f>
        <v>0</v>
      </c>
    </row>
    <row r="94" spans="1:26" s="820" customFormat="1" ht="12" customHeight="1" thickBot="1" x14ac:dyDescent="0.3">
      <c r="A94" s="884">
        <v>3</v>
      </c>
      <c r="B94" s="2197">
        <v>2</v>
      </c>
      <c r="C94" s="3544" t="s">
        <v>904</v>
      </c>
      <c r="D94" s="3545"/>
      <c r="E94" s="3545"/>
      <c r="F94" s="3545"/>
      <c r="G94" s="3545"/>
      <c r="H94" s="3545"/>
      <c r="I94" s="3545"/>
      <c r="J94" s="3545"/>
      <c r="K94" s="3545"/>
      <c r="L94" s="3545"/>
      <c r="M94" s="3545"/>
      <c r="N94" s="3545"/>
      <c r="O94" s="3545"/>
      <c r="P94" s="3545"/>
      <c r="Q94" s="3545"/>
      <c r="R94" s="3545"/>
      <c r="S94" s="3545"/>
      <c r="T94" s="3545"/>
      <c r="U94" s="3606"/>
      <c r="V94" s="3606"/>
      <c r="W94" s="3606"/>
      <c r="X94" s="3607"/>
    </row>
    <row r="95" spans="1:26" s="820" customFormat="1" ht="12" customHeight="1" x14ac:dyDescent="0.2">
      <c r="A95" s="3565">
        <v>3</v>
      </c>
      <c r="B95" s="3578">
        <v>2</v>
      </c>
      <c r="C95" s="3553">
        <v>1</v>
      </c>
      <c r="D95" s="3608" t="s">
        <v>905</v>
      </c>
      <c r="E95" s="3609" t="s">
        <v>873</v>
      </c>
      <c r="F95" s="3516" t="s">
        <v>906</v>
      </c>
      <c r="G95" s="3516" t="s">
        <v>907</v>
      </c>
      <c r="H95" s="847" t="s">
        <v>30</v>
      </c>
      <c r="I95" s="2181">
        <f>J95+L95</f>
        <v>228.2</v>
      </c>
      <c r="J95" s="822">
        <f>228.5-0.3-2.6</f>
        <v>225.6</v>
      </c>
      <c r="K95" s="822">
        <v>201.6</v>
      </c>
      <c r="L95" s="823">
        <f>2.6</f>
        <v>2.6</v>
      </c>
      <c r="M95" s="822">
        <v>255.3</v>
      </c>
      <c r="N95" s="822">
        <v>255.3</v>
      </c>
      <c r="O95" s="822">
        <v>225.4</v>
      </c>
      <c r="P95" s="972"/>
      <c r="Q95" s="822">
        <v>272.39999999999998</v>
      </c>
      <c r="R95" s="822">
        <v>272.39999999999998</v>
      </c>
      <c r="S95" s="822">
        <v>241.2</v>
      </c>
      <c r="T95" s="972"/>
      <c r="U95" s="822">
        <v>272.39999999999998</v>
      </c>
      <c r="V95" s="822">
        <v>272.39999999999998</v>
      </c>
      <c r="W95" s="822">
        <v>241.2</v>
      </c>
      <c r="X95" s="972"/>
      <c r="Z95" s="815"/>
    </row>
    <row r="96" spans="1:26" s="815" customFormat="1" ht="14.25" customHeight="1" x14ac:dyDescent="0.2">
      <c r="A96" s="3577"/>
      <c r="B96" s="3579"/>
      <c r="C96" s="3553"/>
      <c r="D96" s="3608"/>
      <c r="E96" s="3609"/>
      <c r="F96" s="3551"/>
      <c r="G96" s="3551"/>
      <c r="H96" s="849" t="s">
        <v>34</v>
      </c>
      <c r="I96" s="824">
        <f>J96+L96</f>
        <v>13</v>
      </c>
      <c r="J96" s="826">
        <f>10+3</f>
        <v>13</v>
      </c>
      <c r="K96" s="826">
        <f>2+2.5</f>
        <v>4.5</v>
      </c>
      <c r="L96" s="977">
        <v>0</v>
      </c>
      <c r="M96" s="978">
        <v>20</v>
      </c>
      <c r="N96" s="876">
        <v>20</v>
      </c>
      <c r="O96" s="876">
        <v>2.4</v>
      </c>
      <c r="P96" s="841">
        <v>0</v>
      </c>
      <c r="Q96" s="824">
        <v>16.2</v>
      </c>
      <c r="R96" s="826">
        <v>16.2</v>
      </c>
      <c r="S96" s="826">
        <v>2.4</v>
      </c>
      <c r="T96" s="841">
        <v>0</v>
      </c>
      <c r="U96" s="824">
        <v>16.2</v>
      </c>
      <c r="V96" s="826">
        <v>16.2</v>
      </c>
      <c r="W96" s="826">
        <v>2.4</v>
      </c>
      <c r="X96" s="841">
        <v>0</v>
      </c>
    </row>
    <row r="97" spans="1:25" s="815" customFormat="1" ht="14.25" customHeight="1" thickBot="1" x14ac:dyDescent="0.25">
      <c r="A97" s="3577"/>
      <c r="B97" s="3579"/>
      <c r="C97" s="3553"/>
      <c r="D97" s="3608"/>
      <c r="E97" s="3609"/>
      <c r="F97" s="3555"/>
      <c r="G97" s="3555"/>
      <c r="H97" s="850" t="s">
        <v>33</v>
      </c>
      <c r="I97" s="846">
        <f>J97+L97</f>
        <v>2.1</v>
      </c>
      <c r="J97" s="843">
        <v>2.1</v>
      </c>
      <c r="K97" s="843">
        <v>2</v>
      </c>
      <c r="L97" s="844"/>
      <c r="M97" s="846">
        <v>7</v>
      </c>
      <c r="N97" s="843">
        <v>7</v>
      </c>
      <c r="O97" s="843">
        <v>7</v>
      </c>
      <c r="P97" s="845"/>
      <c r="Q97" s="846"/>
      <c r="R97" s="843"/>
      <c r="S97" s="843"/>
      <c r="T97" s="845"/>
      <c r="U97" s="846"/>
      <c r="V97" s="843"/>
      <c r="W97" s="843"/>
      <c r="X97" s="845"/>
    </row>
    <row r="98" spans="1:25" s="815" customFormat="1" ht="15.75" customHeight="1" thickBot="1" x14ac:dyDescent="0.25">
      <c r="A98" s="3577"/>
      <c r="B98" s="3579"/>
      <c r="C98" s="3553"/>
      <c r="D98" s="3608"/>
      <c r="E98" s="3609"/>
      <c r="F98" s="3556" t="s">
        <v>35</v>
      </c>
      <c r="G98" s="3557"/>
      <c r="H98" s="3558"/>
      <c r="I98" s="831">
        <f>SUM(J98,L98)</f>
        <v>243.29999999999998</v>
      </c>
      <c r="J98" s="832">
        <f>SUM(J95:J97)</f>
        <v>240.7</v>
      </c>
      <c r="K98" s="832">
        <f t="shared" ref="K98:L98" si="35">SUM(K95:K97)</f>
        <v>208.1</v>
      </c>
      <c r="L98" s="832">
        <f t="shared" si="35"/>
        <v>2.6</v>
      </c>
      <c r="M98" s="831">
        <f>SUM(N98,P98)</f>
        <v>282.3</v>
      </c>
      <c r="N98" s="832">
        <f>SUM(N95:N97)</f>
        <v>282.3</v>
      </c>
      <c r="O98" s="832">
        <f>SUM(O95:O97)</f>
        <v>234.8</v>
      </c>
      <c r="P98" s="832">
        <f t="shared" ref="P98" si="36">SUM(P95:P97)</f>
        <v>0</v>
      </c>
      <c r="Q98" s="831">
        <f>SUM(R98,T98)</f>
        <v>288.59999999999997</v>
      </c>
      <c r="R98" s="832">
        <f>SUM(R95:R97)</f>
        <v>288.59999999999997</v>
      </c>
      <c r="S98" s="832">
        <f t="shared" ref="S98:T98" si="37">SUM(S95:S97)</f>
        <v>243.6</v>
      </c>
      <c r="T98" s="832">
        <f t="shared" si="37"/>
        <v>0</v>
      </c>
      <c r="U98" s="831">
        <f>SUM(V98,X98)</f>
        <v>288.59999999999997</v>
      </c>
      <c r="V98" s="832">
        <f>SUM(V95:V97)</f>
        <v>288.59999999999997</v>
      </c>
      <c r="W98" s="832">
        <f t="shared" ref="W98:X98" si="38">SUM(W95:W97)</f>
        <v>243.6</v>
      </c>
      <c r="X98" s="833">
        <f t="shared" si="38"/>
        <v>0</v>
      </c>
      <c r="Y98" s="2344"/>
    </row>
    <row r="99" spans="1:25" s="815" customFormat="1" ht="15.75" customHeight="1" thickBot="1" x14ac:dyDescent="0.25">
      <c r="A99" s="2187">
        <v>3</v>
      </c>
      <c r="B99" s="979">
        <v>2</v>
      </c>
      <c r="C99" s="3596" t="s">
        <v>234</v>
      </c>
      <c r="D99" s="3597"/>
      <c r="E99" s="3597"/>
      <c r="F99" s="3598"/>
      <c r="G99" s="3598"/>
      <c r="H99" s="3599"/>
      <c r="I99" s="925">
        <f>SUM(J99,L99)</f>
        <v>243.29999999999998</v>
      </c>
      <c r="J99" s="926">
        <f>SUM(J98)</f>
        <v>240.7</v>
      </c>
      <c r="K99" s="926">
        <f>SUM(K98)</f>
        <v>208.1</v>
      </c>
      <c r="L99" s="968">
        <f>SUM(L98)</f>
        <v>2.6</v>
      </c>
      <c r="M99" s="925">
        <f>SUM(N99,P99)</f>
        <v>282.3</v>
      </c>
      <c r="N99" s="926">
        <f t="shared" ref="N99:P99" si="39">SUM(N98)</f>
        <v>282.3</v>
      </c>
      <c r="O99" s="926">
        <f t="shared" si="39"/>
        <v>234.8</v>
      </c>
      <c r="P99" s="968">
        <f t="shared" si="39"/>
        <v>0</v>
      </c>
      <c r="Q99" s="925">
        <f>SUM(R99,T99)</f>
        <v>288.59999999999997</v>
      </c>
      <c r="R99" s="926">
        <f t="shared" ref="R99:T99" si="40">SUM(R98)</f>
        <v>288.59999999999997</v>
      </c>
      <c r="S99" s="926">
        <f t="shared" si="40"/>
        <v>243.6</v>
      </c>
      <c r="T99" s="968">
        <f t="shared" si="40"/>
        <v>0</v>
      </c>
      <c r="U99" s="925">
        <f>SUM(V99,X99)</f>
        <v>288.59999999999997</v>
      </c>
      <c r="V99" s="926">
        <f t="shared" ref="V99:X99" si="41">SUM(V98)</f>
        <v>288.59999999999997</v>
      </c>
      <c r="W99" s="926">
        <f t="shared" si="41"/>
        <v>243.6</v>
      </c>
      <c r="X99" s="968">
        <f t="shared" si="41"/>
        <v>0</v>
      </c>
    </row>
    <row r="100" spans="1:25" ht="18.75" customHeight="1" thickBot="1" x14ac:dyDescent="0.3">
      <c r="A100" s="929">
        <v>3</v>
      </c>
      <c r="B100" s="3520" t="s">
        <v>167</v>
      </c>
      <c r="C100" s="3521"/>
      <c r="D100" s="3521"/>
      <c r="E100" s="3521"/>
      <c r="F100" s="3521"/>
      <c r="G100" s="3521"/>
      <c r="H100" s="3522"/>
      <c r="I100" s="933">
        <f>I93+I99</f>
        <v>260.09999999999997</v>
      </c>
      <c r="J100" s="932">
        <f>J93+J99</f>
        <v>257.5</v>
      </c>
      <c r="K100" s="932">
        <f>K93+K99</f>
        <v>208.1</v>
      </c>
      <c r="L100" s="932">
        <f>L93+L99</f>
        <v>2.6</v>
      </c>
      <c r="M100" s="933">
        <f>M93+M99</f>
        <v>323.60000000000002</v>
      </c>
      <c r="N100" s="932">
        <f>N99+N93</f>
        <v>323.60000000000002</v>
      </c>
      <c r="O100" s="932">
        <f t="shared" ref="O100:P100" si="42">O99+O93</f>
        <v>234.8</v>
      </c>
      <c r="P100" s="932">
        <f t="shared" si="42"/>
        <v>0</v>
      </c>
      <c r="Q100" s="933">
        <f>Q93+Q99</f>
        <v>333.4</v>
      </c>
      <c r="R100" s="932">
        <f>R99+R93</f>
        <v>333.4</v>
      </c>
      <c r="S100" s="932">
        <f t="shared" ref="S100:T100" si="43">S99+S93</f>
        <v>243.6</v>
      </c>
      <c r="T100" s="932">
        <f t="shared" si="43"/>
        <v>0</v>
      </c>
      <c r="U100" s="933">
        <f t="shared" ref="U100" si="44">SUM(V100,X100)</f>
        <v>347.9</v>
      </c>
      <c r="V100" s="932">
        <f>V99+V93</f>
        <v>347.9</v>
      </c>
      <c r="W100" s="932">
        <f t="shared" ref="W100:X100" si="45">W99+W93</f>
        <v>243.6</v>
      </c>
      <c r="X100" s="934">
        <f t="shared" si="45"/>
        <v>0</v>
      </c>
    </row>
    <row r="101" spans="1:25" ht="25.5" customHeight="1" thickBot="1" x14ac:dyDescent="0.3">
      <c r="A101" s="935">
        <v>4</v>
      </c>
      <c r="B101" s="3600" t="s">
        <v>908</v>
      </c>
      <c r="C101" s="3601"/>
      <c r="D101" s="3601"/>
      <c r="E101" s="3601"/>
      <c r="F101" s="3601"/>
      <c r="G101" s="3601"/>
      <c r="H101" s="3601"/>
      <c r="I101" s="3601"/>
      <c r="J101" s="3601"/>
      <c r="K101" s="3601"/>
      <c r="L101" s="3601"/>
      <c r="M101" s="3601"/>
      <c r="N101" s="3601"/>
      <c r="O101" s="3601"/>
      <c r="P101" s="3601"/>
      <c r="Q101" s="3601"/>
      <c r="R101" s="3601"/>
      <c r="S101" s="3601"/>
      <c r="T101" s="3601"/>
      <c r="U101" s="3601"/>
      <c r="V101" s="3601"/>
      <c r="W101" s="3601"/>
      <c r="X101" s="3602"/>
    </row>
    <row r="102" spans="1:25" ht="18" customHeight="1" thickBot="1" x14ac:dyDescent="0.3">
      <c r="A102" s="884">
        <v>4</v>
      </c>
      <c r="B102" s="980">
        <v>1</v>
      </c>
      <c r="C102" s="3544" t="s">
        <v>909</v>
      </c>
      <c r="D102" s="3545"/>
      <c r="E102" s="3545"/>
      <c r="F102" s="3545"/>
      <c r="G102" s="3545"/>
      <c r="H102" s="3545"/>
      <c r="I102" s="3545"/>
      <c r="J102" s="3545"/>
      <c r="K102" s="3545"/>
      <c r="L102" s="3545"/>
      <c r="M102" s="3545"/>
      <c r="N102" s="3545"/>
      <c r="O102" s="3545"/>
      <c r="P102" s="3545"/>
      <c r="Q102" s="3545"/>
      <c r="R102" s="3545"/>
      <c r="S102" s="3545"/>
      <c r="T102" s="3545"/>
      <c r="U102" s="3545"/>
      <c r="V102" s="3545"/>
      <c r="W102" s="3545"/>
      <c r="X102" s="3546"/>
    </row>
    <row r="103" spans="1:25" ht="26.25" customHeight="1" thickBot="1" x14ac:dyDescent="0.3">
      <c r="A103" s="3565">
        <v>4</v>
      </c>
      <c r="B103" s="3578">
        <v>1</v>
      </c>
      <c r="C103" s="3553">
        <v>1</v>
      </c>
      <c r="D103" s="3603" t="s">
        <v>910</v>
      </c>
      <c r="E103" s="981">
        <v>2</v>
      </c>
      <c r="F103" s="891" t="s">
        <v>879</v>
      </c>
      <c r="G103" s="891" t="s">
        <v>911</v>
      </c>
      <c r="H103" s="821" t="s">
        <v>30</v>
      </c>
      <c r="I103" s="824">
        <v>16.2</v>
      </c>
      <c r="J103" s="822">
        <v>16.2</v>
      </c>
      <c r="K103" s="822"/>
      <c r="L103" s="823">
        <v>0</v>
      </c>
      <c r="M103" s="824">
        <v>20</v>
      </c>
      <c r="N103" s="822">
        <v>20</v>
      </c>
      <c r="O103" s="822">
        <v>0</v>
      </c>
      <c r="P103" s="823"/>
      <c r="Q103" s="824">
        <v>50</v>
      </c>
      <c r="R103" s="822">
        <v>50</v>
      </c>
      <c r="S103" s="822">
        <v>0</v>
      </c>
      <c r="T103" s="823"/>
      <c r="U103" s="824">
        <v>50</v>
      </c>
      <c r="V103" s="822">
        <v>50</v>
      </c>
      <c r="W103" s="822">
        <v>0</v>
      </c>
      <c r="X103" s="823">
        <v>0</v>
      </c>
    </row>
    <row r="104" spans="1:25" ht="29.25" customHeight="1" thickBot="1" x14ac:dyDescent="0.3">
      <c r="A104" s="3577"/>
      <c r="B104" s="3579"/>
      <c r="C104" s="3553"/>
      <c r="D104" s="3604"/>
      <c r="E104" s="2192"/>
      <c r="F104" s="3556" t="s">
        <v>35</v>
      </c>
      <c r="G104" s="3557"/>
      <c r="H104" s="3558"/>
      <c r="I104" s="831">
        <f>I103</f>
        <v>16.2</v>
      </c>
      <c r="J104" s="888">
        <f>J103</f>
        <v>16.2</v>
      </c>
      <c r="K104" s="888">
        <f>SUM(K103)</f>
        <v>0</v>
      </c>
      <c r="L104" s="889">
        <f>SUM(L103)</f>
        <v>0</v>
      </c>
      <c r="M104" s="831">
        <f>M103</f>
        <v>20</v>
      </c>
      <c r="N104" s="888">
        <f>N103</f>
        <v>20</v>
      </c>
      <c r="O104" s="888">
        <f>SUM(O103)</f>
        <v>0</v>
      </c>
      <c r="P104" s="889"/>
      <c r="Q104" s="831">
        <f>Q103</f>
        <v>50</v>
      </c>
      <c r="R104" s="888">
        <f>R103</f>
        <v>50</v>
      </c>
      <c r="S104" s="888">
        <f>SUM(S103)</f>
        <v>0</v>
      </c>
      <c r="T104" s="889"/>
      <c r="U104" s="831">
        <f>U103</f>
        <v>50</v>
      </c>
      <c r="V104" s="888">
        <f>V103</f>
        <v>50</v>
      </c>
      <c r="W104" s="888">
        <f>SUM(W103)</f>
        <v>0</v>
      </c>
      <c r="X104" s="889">
        <f>SUM(X103)</f>
        <v>0</v>
      </c>
    </row>
    <row r="105" spans="1:25" ht="27" customHeight="1" x14ac:dyDescent="0.25">
      <c r="A105" s="3565">
        <v>4</v>
      </c>
      <c r="B105" s="3578">
        <v>1</v>
      </c>
      <c r="C105" s="3555">
        <v>2</v>
      </c>
      <c r="D105" s="3593" t="s">
        <v>912</v>
      </c>
      <c r="E105" s="2186">
        <v>2</v>
      </c>
      <c r="F105" s="3515" t="s">
        <v>879</v>
      </c>
      <c r="G105" s="3515" t="s">
        <v>913</v>
      </c>
      <c r="H105" s="821" t="s">
        <v>30</v>
      </c>
      <c r="I105" s="2181">
        <f>J105+L105</f>
        <v>0</v>
      </c>
      <c r="J105" s="2182">
        <f>20-20</f>
        <v>0</v>
      </c>
      <c r="K105" s="2182">
        <v>0</v>
      </c>
      <c r="L105" s="892"/>
      <c r="M105" s="2181">
        <v>200</v>
      </c>
      <c r="N105" s="2182">
        <v>200</v>
      </c>
      <c r="O105" s="2182">
        <v>0</v>
      </c>
      <c r="P105" s="982"/>
      <c r="Q105" s="2181">
        <f t="shared" ref="Q105" si="46">SUM(R105,T105)</f>
        <v>0</v>
      </c>
      <c r="R105" s="2182">
        <v>0</v>
      </c>
      <c r="S105" s="2182">
        <v>0</v>
      </c>
      <c r="T105" s="892">
        <v>0</v>
      </c>
      <c r="U105" s="2181">
        <f t="shared" ref="U105" si="47">SUM(V105,X105)</f>
        <v>0</v>
      </c>
      <c r="V105" s="2182">
        <v>0</v>
      </c>
      <c r="W105" s="2182">
        <v>0</v>
      </c>
      <c r="X105" s="892">
        <v>0</v>
      </c>
    </row>
    <row r="106" spans="1:25" ht="27" customHeight="1" x14ac:dyDescent="0.25">
      <c r="A106" s="3577"/>
      <c r="B106" s="3579"/>
      <c r="C106" s="3553"/>
      <c r="D106" s="3594"/>
      <c r="E106" s="2186">
        <v>9</v>
      </c>
      <c r="F106" s="3553"/>
      <c r="G106" s="3516"/>
      <c r="H106" s="983" t="s">
        <v>30</v>
      </c>
      <c r="I106" s="824"/>
      <c r="J106" s="822"/>
      <c r="K106" s="822"/>
      <c r="L106" s="897"/>
      <c r="M106" s="824"/>
      <c r="N106" s="822"/>
      <c r="O106" s="822"/>
      <c r="P106" s="984"/>
      <c r="Q106" s="824">
        <v>20</v>
      </c>
      <c r="R106" s="822"/>
      <c r="S106" s="822"/>
      <c r="T106" s="897">
        <v>20</v>
      </c>
      <c r="U106" s="824">
        <v>20</v>
      </c>
      <c r="V106" s="822"/>
      <c r="W106" s="822"/>
      <c r="X106" s="897">
        <v>20</v>
      </c>
    </row>
    <row r="107" spans="1:25" ht="27" customHeight="1" x14ac:dyDescent="0.25">
      <c r="A107" s="3577"/>
      <c r="B107" s="3579"/>
      <c r="C107" s="3553"/>
      <c r="D107" s="3594"/>
      <c r="E107" s="2186">
        <v>22</v>
      </c>
      <c r="F107" s="3553"/>
      <c r="G107" s="1515" t="s">
        <v>914</v>
      </c>
      <c r="H107" s="893" t="s">
        <v>30</v>
      </c>
      <c r="I107" s="824"/>
      <c r="J107" s="822"/>
      <c r="K107" s="822"/>
      <c r="L107" s="897"/>
      <c r="M107" s="824">
        <v>4</v>
      </c>
      <c r="N107" s="822">
        <v>4</v>
      </c>
      <c r="O107" s="822"/>
      <c r="P107" s="984"/>
      <c r="Q107" s="824"/>
      <c r="R107" s="822"/>
      <c r="S107" s="822"/>
      <c r="T107" s="897"/>
      <c r="U107" s="824"/>
      <c r="V107" s="822"/>
      <c r="W107" s="822"/>
      <c r="X107" s="897"/>
    </row>
    <row r="108" spans="1:25" ht="24.75" customHeight="1" thickBot="1" x14ac:dyDescent="0.3">
      <c r="A108" s="3577"/>
      <c r="B108" s="3579"/>
      <c r="C108" s="3553"/>
      <c r="D108" s="3594"/>
      <c r="E108" s="2186">
        <v>26</v>
      </c>
      <c r="F108" s="3588"/>
      <c r="G108" s="1514" t="s">
        <v>915</v>
      </c>
      <c r="H108" s="985" t="s">
        <v>30</v>
      </c>
      <c r="I108" s="824"/>
      <c r="J108" s="822"/>
      <c r="K108" s="822">
        <v>0</v>
      </c>
      <c r="L108" s="897">
        <v>0</v>
      </c>
      <c r="M108" s="824">
        <v>6</v>
      </c>
      <c r="N108" s="822">
        <v>6</v>
      </c>
      <c r="O108" s="822">
        <v>0</v>
      </c>
      <c r="P108" s="897">
        <v>0</v>
      </c>
      <c r="Q108" s="824">
        <f>SUM(R108,T108)</f>
        <v>0</v>
      </c>
      <c r="R108" s="822">
        <v>0</v>
      </c>
      <c r="S108" s="822">
        <v>0</v>
      </c>
      <c r="T108" s="897">
        <v>0</v>
      </c>
      <c r="U108" s="824">
        <f>SUM(V108,X108)</f>
        <v>0</v>
      </c>
      <c r="V108" s="822">
        <v>0</v>
      </c>
      <c r="W108" s="822">
        <v>0</v>
      </c>
      <c r="X108" s="897">
        <v>0</v>
      </c>
    </row>
    <row r="109" spans="1:25" ht="28.5" customHeight="1" thickBot="1" x14ac:dyDescent="0.3">
      <c r="A109" s="3547"/>
      <c r="B109" s="3549"/>
      <c r="C109" s="3516"/>
      <c r="D109" s="3595"/>
      <c r="E109" s="2192"/>
      <c r="F109" s="3556" t="s">
        <v>35</v>
      </c>
      <c r="G109" s="3557"/>
      <c r="H109" s="3558"/>
      <c r="I109" s="831">
        <f>J109+L109</f>
        <v>0</v>
      </c>
      <c r="J109" s="888">
        <f>J105</f>
        <v>0</v>
      </c>
      <c r="K109" s="888">
        <f>SUM(K105:K108)</f>
        <v>0</v>
      </c>
      <c r="L109" s="889">
        <f>SUM(L105:L108)</f>
        <v>0</v>
      </c>
      <c r="M109" s="831">
        <f>M105+M106+M107+M108</f>
        <v>210</v>
      </c>
      <c r="N109" s="888">
        <f>N105+N106+N107+N108</f>
        <v>210</v>
      </c>
      <c r="O109" s="888">
        <f>SUM(O105:O108)</f>
        <v>0</v>
      </c>
      <c r="P109" s="889">
        <f>SUM(P105:P108)</f>
        <v>0</v>
      </c>
      <c r="Q109" s="831">
        <f>SUM(R109,T109)</f>
        <v>20</v>
      </c>
      <c r="R109" s="888">
        <f>SUM(R105:R108)</f>
        <v>0</v>
      </c>
      <c r="S109" s="888">
        <f>SUM(S105:S108)</f>
        <v>0</v>
      </c>
      <c r="T109" s="889">
        <f>SUM(T105:T108)</f>
        <v>20</v>
      </c>
      <c r="U109" s="831">
        <f>SUM(V109,X109)</f>
        <v>20</v>
      </c>
      <c r="V109" s="888">
        <f>SUM(V105:V108)</f>
        <v>0</v>
      </c>
      <c r="W109" s="888">
        <f>SUM(W105:W108)</f>
        <v>0</v>
      </c>
      <c r="X109" s="889">
        <f>SUM(X105:X108)</f>
        <v>20</v>
      </c>
    </row>
    <row r="110" spans="1:25" ht="30" customHeight="1" thickBot="1" x14ac:dyDescent="0.3">
      <c r="A110" s="3548">
        <v>4</v>
      </c>
      <c r="B110" s="3550">
        <v>1</v>
      </c>
      <c r="C110" s="3551">
        <v>3</v>
      </c>
      <c r="D110" s="3589" t="s">
        <v>916</v>
      </c>
      <c r="E110" s="3591">
        <v>2</v>
      </c>
      <c r="F110" s="986" t="s">
        <v>879</v>
      </c>
      <c r="G110" s="986" t="s">
        <v>917</v>
      </c>
      <c r="H110" s="893" t="s">
        <v>30</v>
      </c>
      <c r="I110" s="825">
        <v>35</v>
      </c>
      <c r="J110" s="826"/>
      <c r="K110" s="826"/>
      <c r="L110" s="977">
        <v>35</v>
      </c>
      <c r="M110" s="825">
        <v>6.5</v>
      </c>
      <c r="N110" s="826"/>
      <c r="O110" s="826"/>
      <c r="P110" s="977">
        <v>6.5</v>
      </c>
      <c r="Q110" s="825">
        <v>24</v>
      </c>
      <c r="R110" s="826"/>
      <c r="S110" s="826"/>
      <c r="T110" s="977">
        <v>24</v>
      </c>
      <c r="U110" s="825">
        <v>10</v>
      </c>
      <c r="V110" s="826"/>
      <c r="W110" s="826"/>
      <c r="X110" s="977">
        <v>10</v>
      </c>
    </row>
    <row r="111" spans="1:25" ht="29.25" customHeight="1" thickBot="1" x14ac:dyDescent="0.3">
      <c r="A111" s="3548"/>
      <c r="B111" s="3550"/>
      <c r="C111" s="3551"/>
      <c r="D111" s="3590"/>
      <c r="E111" s="3592"/>
      <c r="F111" s="3556" t="s">
        <v>35</v>
      </c>
      <c r="G111" s="3557"/>
      <c r="H111" s="3558"/>
      <c r="I111" s="831">
        <f>I110</f>
        <v>35</v>
      </c>
      <c r="J111" s="888"/>
      <c r="K111" s="888"/>
      <c r="L111" s="889">
        <f>L110</f>
        <v>35</v>
      </c>
      <c r="M111" s="831">
        <f>M110</f>
        <v>6.5</v>
      </c>
      <c r="N111" s="888"/>
      <c r="O111" s="888"/>
      <c r="P111" s="889">
        <f>P110</f>
        <v>6.5</v>
      </c>
      <c r="Q111" s="831">
        <f>Q110</f>
        <v>24</v>
      </c>
      <c r="R111" s="888"/>
      <c r="S111" s="888"/>
      <c r="T111" s="889">
        <f>T110</f>
        <v>24</v>
      </c>
      <c r="U111" s="831">
        <f>U110</f>
        <v>10</v>
      </c>
      <c r="V111" s="888"/>
      <c r="W111" s="888"/>
      <c r="X111" s="889">
        <f>X110</f>
        <v>10</v>
      </c>
    </row>
    <row r="112" spans="1:25" s="989" customFormat="1" ht="19.5" customHeight="1" x14ac:dyDescent="0.2">
      <c r="A112" s="3583">
        <v>4</v>
      </c>
      <c r="B112" s="3584">
        <v>1</v>
      </c>
      <c r="C112" s="3551">
        <v>4</v>
      </c>
      <c r="D112" s="3585" t="s">
        <v>918</v>
      </c>
      <c r="E112" s="3586" t="s">
        <v>873</v>
      </c>
      <c r="F112" s="3515" t="s">
        <v>879</v>
      </c>
      <c r="G112" s="3574" t="s">
        <v>919</v>
      </c>
      <c r="H112" s="987" t="s">
        <v>30</v>
      </c>
      <c r="I112" s="988">
        <v>0.5</v>
      </c>
      <c r="J112" s="873">
        <v>0.5</v>
      </c>
      <c r="K112" s="873">
        <v>0.4</v>
      </c>
      <c r="L112" s="848"/>
      <c r="M112" s="988">
        <v>231.3</v>
      </c>
      <c r="N112" s="873">
        <v>25.7</v>
      </c>
      <c r="O112" s="873">
        <v>10.199999999999999</v>
      </c>
      <c r="P112" s="848">
        <v>205.6</v>
      </c>
      <c r="Q112" s="834">
        <f t="shared" ref="Q112" si="48">SUM(R112,T112)</f>
        <v>0</v>
      </c>
      <c r="R112" s="2182"/>
      <c r="S112" s="2182">
        <v>0</v>
      </c>
      <c r="T112" s="2183"/>
      <c r="U112" s="834">
        <f t="shared" ref="U112" si="49">SUM(V112,X112)</f>
        <v>0</v>
      </c>
      <c r="V112" s="2182"/>
      <c r="W112" s="2182">
        <v>0</v>
      </c>
      <c r="X112" s="2183"/>
    </row>
    <row r="113" spans="1:25" s="989" customFormat="1" ht="20.25" customHeight="1" x14ac:dyDescent="0.2">
      <c r="A113" s="3583"/>
      <c r="B113" s="3584"/>
      <c r="C113" s="3551"/>
      <c r="D113" s="3585"/>
      <c r="E113" s="3586"/>
      <c r="F113" s="3553"/>
      <c r="G113" s="3575"/>
      <c r="H113" s="987" t="s">
        <v>111</v>
      </c>
      <c r="I113" s="990"/>
      <c r="J113" s="876"/>
      <c r="K113" s="876"/>
      <c r="L113" s="877"/>
      <c r="M113" s="990">
        <v>265.8</v>
      </c>
      <c r="N113" s="876">
        <v>31.5</v>
      </c>
      <c r="O113" s="876">
        <v>12.9</v>
      </c>
      <c r="P113" s="877">
        <v>234.3</v>
      </c>
      <c r="Q113" s="836"/>
      <c r="R113" s="826"/>
      <c r="S113" s="826"/>
      <c r="T113" s="827"/>
      <c r="U113" s="836"/>
      <c r="V113" s="826"/>
      <c r="W113" s="826"/>
      <c r="X113" s="827"/>
    </row>
    <row r="114" spans="1:25" s="989" customFormat="1" ht="18.75" customHeight="1" x14ac:dyDescent="0.2">
      <c r="A114" s="3583"/>
      <c r="B114" s="3584"/>
      <c r="C114" s="3551"/>
      <c r="D114" s="3585"/>
      <c r="E114" s="3586"/>
      <c r="F114" s="3553"/>
      <c r="G114" s="3575"/>
      <c r="H114" s="893" t="s">
        <v>202</v>
      </c>
      <c r="I114" s="990"/>
      <c r="J114" s="876"/>
      <c r="K114" s="876"/>
      <c r="L114" s="877"/>
      <c r="M114" s="990"/>
      <c r="N114" s="876"/>
      <c r="O114" s="876"/>
      <c r="P114" s="877"/>
      <c r="Q114" s="836"/>
      <c r="R114" s="826"/>
      <c r="S114" s="826"/>
      <c r="T114" s="827"/>
      <c r="U114" s="836"/>
      <c r="V114" s="826"/>
      <c r="W114" s="826"/>
      <c r="X114" s="827"/>
      <c r="Y114" s="2345"/>
    </row>
    <row r="115" spans="1:25" s="989" customFormat="1" ht="18.75" customHeight="1" thickBot="1" x14ac:dyDescent="0.25">
      <c r="A115" s="3583"/>
      <c r="B115" s="3584"/>
      <c r="C115" s="3551"/>
      <c r="D115" s="3585"/>
      <c r="E115" s="3586"/>
      <c r="F115" s="3588"/>
      <c r="G115" s="3576"/>
      <c r="H115" s="835" t="s">
        <v>244</v>
      </c>
      <c r="I115" s="991"/>
      <c r="J115" s="944"/>
      <c r="K115" s="944"/>
      <c r="L115" s="992"/>
      <c r="M115" s="991"/>
      <c r="N115" s="944"/>
      <c r="O115" s="944"/>
      <c r="P115" s="992"/>
      <c r="Q115" s="829"/>
      <c r="R115" s="993"/>
      <c r="S115" s="993"/>
      <c r="T115" s="994"/>
      <c r="U115" s="829"/>
      <c r="V115" s="993"/>
      <c r="W115" s="993"/>
      <c r="X115" s="994"/>
    </row>
    <row r="116" spans="1:25" s="815" customFormat="1" ht="19.5" customHeight="1" thickBot="1" x14ac:dyDescent="0.25">
      <c r="A116" s="3583"/>
      <c r="B116" s="3584"/>
      <c r="C116" s="3551"/>
      <c r="D116" s="3585"/>
      <c r="E116" s="3587"/>
      <c r="F116" s="3541" t="s">
        <v>35</v>
      </c>
      <c r="G116" s="3542"/>
      <c r="H116" s="3543"/>
      <c r="I116" s="917">
        <f t="shared" ref="I116:I120" si="50">J116+L116</f>
        <v>0.5</v>
      </c>
      <c r="J116" s="904">
        <f>J112+J113+J114+J115</f>
        <v>0.5</v>
      </c>
      <c r="K116" s="904">
        <f>K112+K113+K114+K115</f>
        <v>0.4</v>
      </c>
      <c r="L116" s="905">
        <f>L112+L113+L114+L115</f>
        <v>0</v>
      </c>
      <c r="M116" s="917">
        <f t="shared" ref="M116" si="51">N116+P116</f>
        <v>497.09999999999997</v>
      </c>
      <c r="N116" s="904">
        <f>N112+N113+N114+N115</f>
        <v>57.2</v>
      </c>
      <c r="O116" s="904">
        <f>O112+O113+O114+O115</f>
        <v>23.1</v>
      </c>
      <c r="P116" s="905">
        <f>P112+P113+P114+P115</f>
        <v>439.9</v>
      </c>
      <c r="Q116" s="917"/>
      <c r="R116" s="904"/>
      <c r="S116" s="904"/>
      <c r="T116" s="905"/>
      <c r="U116" s="917"/>
      <c r="V116" s="904"/>
      <c r="W116" s="904"/>
      <c r="X116" s="905"/>
    </row>
    <row r="117" spans="1:25" s="815" customFormat="1" ht="72" customHeight="1" thickBot="1" x14ac:dyDescent="0.25">
      <c r="A117" s="3565">
        <v>4</v>
      </c>
      <c r="B117" s="3578">
        <v>1</v>
      </c>
      <c r="C117" s="3555">
        <v>5</v>
      </c>
      <c r="D117" s="3580" t="s">
        <v>920</v>
      </c>
      <c r="E117" s="3581">
        <v>2</v>
      </c>
      <c r="F117" s="2193" t="s">
        <v>879</v>
      </c>
      <c r="G117" s="2193" t="s">
        <v>921</v>
      </c>
      <c r="H117" s="973" t="s">
        <v>30</v>
      </c>
      <c r="I117" s="2181">
        <f t="shared" si="50"/>
        <v>50</v>
      </c>
      <c r="J117" s="2182">
        <v>50</v>
      </c>
      <c r="K117" s="2182"/>
      <c r="L117" s="892"/>
      <c r="M117" s="2181">
        <v>100</v>
      </c>
      <c r="N117" s="2182">
        <v>100</v>
      </c>
      <c r="O117" s="2182"/>
      <c r="P117" s="892">
        <v>0</v>
      </c>
      <c r="Q117" s="2181">
        <v>100</v>
      </c>
      <c r="R117" s="2182">
        <v>100</v>
      </c>
      <c r="S117" s="2182"/>
      <c r="T117" s="892">
        <v>0</v>
      </c>
      <c r="U117" s="2181">
        <v>150</v>
      </c>
      <c r="V117" s="2182">
        <v>150</v>
      </c>
      <c r="W117" s="2182"/>
      <c r="X117" s="892">
        <v>0</v>
      </c>
    </row>
    <row r="118" spans="1:25" s="815" customFormat="1" ht="49.5" customHeight="1" thickBot="1" x14ac:dyDescent="0.25">
      <c r="A118" s="3577"/>
      <c r="B118" s="3579"/>
      <c r="C118" s="3553"/>
      <c r="D118" s="3537"/>
      <c r="E118" s="3582"/>
      <c r="F118" s="3556" t="s">
        <v>35</v>
      </c>
      <c r="G118" s="3557"/>
      <c r="H118" s="3558"/>
      <c r="I118" s="831">
        <f t="shared" si="50"/>
        <v>50</v>
      </c>
      <c r="J118" s="888">
        <f>J117</f>
        <v>50</v>
      </c>
      <c r="K118" s="888"/>
      <c r="L118" s="889"/>
      <c r="M118" s="831">
        <v>100</v>
      </c>
      <c r="N118" s="888">
        <v>100</v>
      </c>
      <c r="O118" s="888"/>
      <c r="P118" s="889">
        <f>SUM(P117)</f>
        <v>0</v>
      </c>
      <c r="Q118" s="831">
        <f>SUM(R118,T118)</f>
        <v>100</v>
      </c>
      <c r="R118" s="888">
        <v>100</v>
      </c>
      <c r="S118" s="888"/>
      <c r="T118" s="889">
        <f>SUM(T117)</f>
        <v>0</v>
      </c>
      <c r="U118" s="831">
        <f>U117</f>
        <v>150</v>
      </c>
      <c r="V118" s="888">
        <f>V117</f>
        <v>150</v>
      </c>
      <c r="W118" s="888"/>
      <c r="X118" s="889">
        <f>SUM(X117)</f>
        <v>0</v>
      </c>
    </row>
    <row r="119" spans="1:25" s="815" customFormat="1" ht="27.75" customHeight="1" thickBot="1" x14ac:dyDescent="0.25">
      <c r="A119" s="3565">
        <v>4</v>
      </c>
      <c r="B119" s="3566">
        <v>1</v>
      </c>
      <c r="C119" s="3568">
        <v>6</v>
      </c>
      <c r="D119" s="3570" t="s">
        <v>922</v>
      </c>
      <c r="E119" s="3572">
        <v>2</v>
      </c>
      <c r="F119" s="2193" t="s">
        <v>879</v>
      </c>
      <c r="G119" s="2193" t="s">
        <v>923</v>
      </c>
      <c r="H119" s="973" t="s">
        <v>30</v>
      </c>
      <c r="I119" s="2181">
        <f t="shared" si="50"/>
        <v>0</v>
      </c>
      <c r="J119" s="2182"/>
      <c r="K119" s="2182"/>
      <c r="L119" s="892"/>
      <c r="M119" s="2181">
        <v>30</v>
      </c>
      <c r="N119" s="2182"/>
      <c r="O119" s="2182"/>
      <c r="P119" s="892">
        <v>30</v>
      </c>
      <c r="Q119" s="2181">
        <v>230</v>
      </c>
      <c r="R119" s="2182"/>
      <c r="S119" s="2182"/>
      <c r="T119" s="892">
        <v>230</v>
      </c>
      <c r="U119" s="2181">
        <v>300</v>
      </c>
      <c r="V119" s="2182"/>
      <c r="W119" s="2182"/>
      <c r="X119" s="892">
        <v>300</v>
      </c>
    </row>
    <row r="120" spans="1:25" s="995" customFormat="1" ht="36" customHeight="1" thickBot="1" x14ac:dyDescent="0.25">
      <c r="A120" s="3547"/>
      <c r="B120" s="3567"/>
      <c r="C120" s="3569"/>
      <c r="D120" s="3571"/>
      <c r="E120" s="3573"/>
      <c r="F120" s="3556" t="s">
        <v>35</v>
      </c>
      <c r="G120" s="3557"/>
      <c r="H120" s="3558"/>
      <c r="I120" s="831">
        <f t="shared" si="50"/>
        <v>0</v>
      </c>
      <c r="J120" s="888"/>
      <c r="K120" s="888"/>
      <c r="L120" s="889">
        <f>L119</f>
        <v>0</v>
      </c>
      <c r="M120" s="831">
        <f>N120+P120</f>
        <v>30</v>
      </c>
      <c r="N120" s="888"/>
      <c r="O120" s="888"/>
      <c r="P120" s="889">
        <f>P119</f>
        <v>30</v>
      </c>
      <c r="Q120" s="831">
        <f>SUM(R120,T120)</f>
        <v>230</v>
      </c>
      <c r="R120" s="888"/>
      <c r="S120" s="888"/>
      <c r="T120" s="889">
        <f>SUM(T119)</f>
        <v>230</v>
      </c>
      <c r="U120" s="831">
        <f>SUM(V120,X120)</f>
        <v>300</v>
      </c>
      <c r="V120" s="888"/>
      <c r="W120" s="888"/>
      <c r="X120" s="889">
        <f>SUM(X119)</f>
        <v>300</v>
      </c>
    </row>
    <row r="121" spans="1:25" ht="29.25" customHeight="1" thickBot="1" x14ac:dyDescent="0.3">
      <c r="A121" s="3559">
        <v>4</v>
      </c>
      <c r="B121" s="3560">
        <v>1</v>
      </c>
      <c r="C121" s="3561">
        <v>7</v>
      </c>
      <c r="D121" s="3536" t="s">
        <v>924</v>
      </c>
      <c r="E121" s="3563">
        <v>2</v>
      </c>
      <c r="F121" s="996" t="s">
        <v>879</v>
      </c>
      <c r="G121" s="997" t="s">
        <v>925</v>
      </c>
      <c r="H121" s="998" t="s">
        <v>30</v>
      </c>
      <c r="I121" s="828">
        <v>14.8</v>
      </c>
      <c r="J121" s="993">
        <v>14.8</v>
      </c>
      <c r="K121" s="993">
        <v>0</v>
      </c>
      <c r="L121" s="994">
        <v>0</v>
      </c>
      <c r="M121" s="829">
        <v>20</v>
      </c>
      <c r="N121" s="993">
        <v>20</v>
      </c>
      <c r="O121" s="993">
        <v>0</v>
      </c>
      <c r="P121" s="994">
        <v>0</v>
      </c>
      <c r="Q121" s="829">
        <v>30</v>
      </c>
      <c r="R121" s="993">
        <v>30</v>
      </c>
      <c r="S121" s="993">
        <v>0</v>
      </c>
      <c r="T121" s="994">
        <v>0</v>
      </c>
      <c r="U121" s="829">
        <v>30</v>
      </c>
      <c r="V121" s="993">
        <v>30</v>
      </c>
      <c r="W121" s="993">
        <v>0</v>
      </c>
      <c r="X121" s="994">
        <v>0</v>
      </c>
      <c r="Y121" s="2346"/>
    </row>
    <row r="122" spans="1:25" ht="54.75" customHeight="1" thickBot="1" x14ac:dyDescent="0.3">
      <c r="A122" s="3559"/>
      <c r="B122" s="3560"/>
      <c r="C122" s="3562"/>
      <c r="D122" s="3552"/>
      <c r="E122" s="3564"/>
      <c r="F122" s="3556" t="s">
        <v>35</v>
      </c>
      <c r="G122" s="3557"/>
      <c r="H122" s="3558"/>
      <c r="I122" s="999">
        <f>I121</f>
        <v>14.8</v>
      </c>
      <c r="J122" s="1000">
        <f>J121</f>
        <v>14.8</v>
      </c>
      <c r="K122" s="1000">
        <f>SUM(K121)</f>
        <v>0</v>
      </c>
      <c r="L122" s="1001">
        <f>SUM(L121)</f>
        <v>0</v>
      </c>
      <c r="M122" s="1002">
        <f t="shared" ref="M122" si="52">SUM(N122,P122)</f>
        <v>20</v>
      </c>
      <c r="N122" s="1000">
        <f>SUM(N121)</f>
        <v>20</v>
      </c>
      <c r="O122" s="1000">
        <f>SUM(O121)</f>
        <v>0</v>
      </c>
      <c r="P122" s="1001">
        <f>SUM(P121)</f>
        <v>0</v>
      </c>
      <c r="Q122" s="1002">
        <f t="shared" ref="Q122" si="53">SUM(R122,T122)</f>
        <v>30</v>
      </c>
      <c r="R122" s="1000">
        <f>SUM(R121)</f>
        <v>30</v>
      </c>
      <c r="S122" s="1000">
        <f>SUM(S121)</f>
        <v>0</v>
      </c>
      <c r="T122" s="1003">
        <f>SUM(T121)</f>
        <v>0</v>
      </c>
      <c r="U122" s="831">
        <f t="shared" ref="U122" si="54">SUM(V122,X122)</f>
        <v>30</v>
      </c>
      <c r="V122" s="1000">
        <f>SUM(V121)</f>
        <v>30</v>
      </c>
      <c r="W122" s="1000">
        <f>SUM(W121)</f>
        <v>0</v>
      </c>
      <c r="X122" s="1001">
        <f>SUM(X121)</f>
        <v>0</v>
      </c>
      <c r="Y122" s="2346"/>
    </row>
    <row r="123" spans="1:25" s="995" customFormat="1" ht="27" customHeight="1" thickBot="1" x14ac:dyDescent="0.25">
      <c r="A123" s="2187">
        <v>4</v>
      </c>
      <c r="B123" s="979">
        <v>1</v>
      </c>
      <c r="C123" s="3517" t="s">
        <v>234</v>
      </c>
      <c r="D123" s="3518"/>
      <c r="E123" s="3518"/>
      <c r="F123" s="3518"/>
      <c r="G123" s="3518"/>
      <c r="H123" s="3519"/>
      <c r="I123" s="925">
        <f t="shared" ref="I123:S123" si="55">I104+I109+I111+I116+I118+I120+I122</f>
        <v>116.5</v>
      </c>
      <c r="J123" s="926">
        <f t="shared" si="55"/>
        <v>81.5</v>
      </c>
      <c r="K123" s="926">
        <f t="shared" si="55"/>
        <v>0.4</v>
      </c>
      <c r="L123" s="926">
        <f t="shared" si="55"/>
        <v>35</v>
      </c>
      <c r="M123" s="925">
        <f t="shared" si="55"/>
        <v>883.59999999999991</v>
      </c>
      <c r="N123" s="926">
        <f t="shared" si="55"/>
        <v>407.2</v>
      </c>
      <c r="O123" s="926">
        <f t="shared" si="55"/>
        <v>23.1</v>
      </c>
      <c r="P123" s="926">
        <f t="shared" si="55"/>
        <v>476.4</v>
      </c>
      <c r="Q123" s="925">
        <f>Q104+Q109+Q111+Q118+Q120+Q122</f>
        <v>454</v>
      </c>
      <c r="R123" s="926">
        <f>R104+R118+R122</f>
        <v>180</v>
      </c>
      <c r="S123" s="926">
        <f t="shared" si="55"/>
        <v>0</v>
      </c>
      <c r="T123" s="926">
        <f>T109+T111+T120</f>
        <v>274</v>
      </c>
      <c r="U123" s="925">
        <f>U104+U109+U111+U118+U120+U122</f>
        <v>560</v>
      </c>
      <c r="V123" s="926">
        <f>V104+V118+V122</f>
        <v>230</v>
      </c>
      <c r="W123" s="926">
        <f>W104+W109+W111+W116+W118+W120+W122</f>
        <v>0</v>
      </c>
      <c r="X123" s="968">
        <f>X109+X111+X120</f>
        <v>330</v>
      </c>
    </row>
    <row r="124" spans="1:25" s="995" customFormat="1" ht="13.5" thickBot="1" x14ac:dyDescent="0.25">
      <c r="A124" s="1004">
        <v>4</v>
      </c>
      <c r="B124" s="1005">
        <v>2</v>
      </c>
      <c r="C124" s="3544" t="s">
        <v>926</v>
      </c>
      <c r="D124" s="3545"/>
      <c r="E124" s="3545"/>
      <c r="F124" s="3545"/>
      <c r="G124" s="3545"/>
      <c r="H124" s="3545"/>
      <c r="I124" s="3545"/>
      <c r="J124" s="3545"/>
      <c r="K124" s="3545"/>
      <c r="L124" s="3545"/>
      <c r="M124" s="3545"/>
      <c r="N124" s="3545"/>
      <c r="O124" s="3545"/>
      <c r="P124" s="3545"/>
      <c r="Q124" s="3545"/>
      <c r="R124" s="3545"/>
      <c r="S124" s="3545"/>
      <c r="T124" s="3545"/>
      <c r="U124" s="3545"/>
      <c r="V124" s="3545"/>
      <c r="W124" s="3545"/>
      <c r="X124" s="3546"/>
    </row>
    <row r="125" spans="1:25" s="995" customFormat="1" ht="21.75" customHeight="1" x14ac:dyDescent="0.2">
      <c r="A125" s="3547">
        <v>4</v>
      </c>
      <c r="B125" s="3549">
        <v>2</v>
      </c>
      <c r="C125" s="3516">
        <v>1</v>
      </c>
      <c r="D125" s="3536" t="s">
        <v>927</v>
      </c>
      <c r="E125" s="2185">
        <v>26</v>
      </c>
      <c r="F125" s="3516" t="s">
        <v>879</v>
      </c>
      <c r="G125" s="3516" t="s">
        <v>928</v>
      </c>
      <c r="H125" s="957" t="s">
        <v>30</v>
      </c>
      <c r="I125" s="840">
        <v>20</v>
      </c>
      <c r="J125" s="941"/>
      <c r="K125" s="971"/>
      <c r="L125" s="823">
        <v>20</v>
      </c>
      <c r="M125" s="840">
        <v>12</v>
      </c>
      <c r="N125" s="822"/>
      <c r="O125" s="971"/>
      <c r="P125" s="972">
        <v>12</v>
      </c>
      <c r="Q125" s="840"/>
      <c r="R125" s="822"/>
      <c r="S125" s="971"/>
      <c r="T125" s="972"/>
      <c r="U125" s="840"/>
      <c r="V125" s="822"/>
      <c r="W125" s="971"/>
      <c r="X125" s="972"/>
    </row>
    <row r="126" spans="1:25" s="995" customFormat="1" ht="21.75" customHeight="1" x14ac:dyDescent="0.2">
      <c r="A126" s="3547"/>
      <c r="B126" s="3549"/>
      <c r="C126" s="3516"/>
      <c r="D126" s="3536"/>
      <c r="E126" s="2185" t="s">
        <v>873</v>
      </c>
      <c r="F126" s="3553"/>
      <c r="G126" s="3553"/>
      <c r="H126" s="839" t="s">
        <v>30</v>
      </c>
      <c r="I126" s="840">
        <v>14</v>
      </c>
      <c r="J126" s="941"/>
      <c r="K126" s="971"/>
      <c r="L126" s="823">
        <v>14</v>
      </c>
      <c r="M126" s="840"/>
      <c r="N126" s="822"/>
      <c r="O126" s="971"/>
      <c r="P126" s="972"/>
      <c r="Q126" s="840"/>
      <c r="R126" s="822"/>
      <c r="S126" s="971"/>
      <c r="T126" s="972"/>
      <c r="U126" s="840"/>
      <c r="V126" s="822"/>
      <c r="W126" s="971"/>
      <c r="X126" s="972"/>
    </row>
    <row r="127" spans="1:25" s="995" customFormat="1" ht="21.75" customHeight="1" x14ac:dyDescent="0.2">
      <c r="A127" s="3547"/>
      <c r="B127" s="3549"/>
      <c r="C127" s="3516"/>
      <c r="D127" s="3536"/>
      <c r="E127" s="3551">
        <v>2</v>
      </c>
      <c r="F127" s="3553"/>
      <c r="G127" s="3553"/>
      <c r="H127" s="1006" t="s">
        <v>30</v>
      </c>
      <c r="I127" s="840"/>
      <c r="J127" s="941"/>
      <c r="K127" s="971">
        <v>0</v>
      </c>
      <c r="L127" s="823"/>
      <c r="M127" s="840">
        <v>23</v>
      </c>
      <c r="N127" s="822"/>
      <c r="O127" s="971"/>
      <c r="P127" s="972">
        <v>23</v>
      </c>
      <c r="Q127" s="840">
        <v>35</v>
      </c>
      <c r="R127" s="822"/>
      <c r="S127" s="971">
        <v>0</v>
      </c>
      <c r="T127" s="972">
        <v>35</v>
      </c>
      <c r="U127" s="840"/>
      <c r="V127" s="822"/>
      <c r="W127" s="971"/>
      <c r="X127" s="972"/>
    </row>
    <row r="128" spans="1:25" s="995" customFormat="1" ht="21.75" customHeight="1" thickBot="1" x14ac:dyDescent="0.25">
      <c r="A128" s="3548"/>
      <c r="B128" s="3550"/>
      <c r="C128" s="3551"/>
      <c r="D128" s="3552"/>
      <c r="E128" s="3551"/>
      <c r="F128" s="3554"/>
      <c r="G128" s="3555"/>
      <c r="H128" s="1007" t="s">
        <v>111</v>
      </c>
      <c r="I128" s="1008">
        <v>1.1000000000000001</v>
      </c>
      <c r="J128" s="1009">
        <v>1.1000000000000001</v>
      </c>
      <c r="K128" s="1010">
        <v>0.5</v>
      </c>
      <c r="L128" s="959"/>
      <c r="M128" s="939"/>
      <c r="N128" s="1011"/>
      <c r="O128" s="1011"/>
      <c r="P128" s="1012"/>
      <c r="Q128" s="960">
        <f>SUM(R128,T128)</f>
        <v>0</v>
      </c>
      <c r="R128" s="1011">
        <v>0</v>
      </c>
      <c r="S128" s="1011">
        <v>0</v>
      </c>
      <c r="T128" s="1012"/>
      <c r="U128" s="960">
        <f>SUM(V128,X128)</f>
        <v>0</v>
      </c>
      <c r="V128" s="1011">
        <v>0</v>
      </c>
      <c r="W128" s="1011">
        <v>0</v>
      </c>
      <c r="X128" s="1012"/>
    </row>
    <row r="129" spans="1:33" s="1015" customFormat="1" ht="21.75" customHeight="1" thickBot="1" x14ac:dyDescent="0.3">
      <c r="A129" s="3548"/>
      <c r="B129" s="3550"/>
      <c r="C129" s="3551"/>
      <c r="D129" s="3552"/>
      <c r="E129" s="1013"/>
      <c r="F129" s="3556" t="s">
        <v>35</v>
      </c>
      <c r="G129" s="3557"/>
      <c r="H129" s="3558"/>
      <c r="I129" s="1002">
        <f>I125+I126+I128</f>
        <v>35.1</v>
      </c>
      <c r="J129" s="1014">
        <f>J128+J127</f>
        <v>1.1000000000000001</v>
      </c>
      <c r="K129" s="1014">
        <f t="shared" ref="K129" si="56">K128+K127</f>
        <v>0.5</v>
      </c>
      <c r="L129" s="1014">
        <f>L125+L126+L127+L128</f>
        <v>34</v>
      </c>
      <c r="M129" s="831">
        <f>M125+M126+M127+M128</f>
        <v>35</v>
      </c>
      <c r="N129" s="832">
        <f t="shared" ref="N129:X129" si="57">N127</f>
        <v>0</v>
      </c>
      <c r="O129" s="832">
        <f t="shared" si="57"/>
        <v>0</v>
      </c>
      <c r="P129" s="833">
        <f>P125+P126+P127+P128</f>
        <v>35</v>
      </c>
      <c r="Q129" s="831">
        <f>Q127</f>
        <v>35</v>
      </c>
      <c r="R129" s="832">
        <f t="shared" ref="R129:T129" si="58">R127</f>
        <v>0</v>
      </c>
      <c r="S129" s="832">
        <f t="shared" si="58"/>
        <v>0</v>
      </c>
      <c r="T129" s="833">
        <f t="shared" si="58"/>
        <v>35</v>
      </c>
      <c r="U129" s="831">
        <f>U127</f>
        <v>0</v>
      </c>
      <c r="V129" s="832">
        <f t="shared" si="57"/>
        <v>0</v>
      </c>
      <c r="W129" s="832">
        <f t="shared" si="57"/>
        <v>0</v>
      </c>
      <c r="X129" s="833">
        <f t="shared" si="57"/>
        <v>0</v>
      </c>
    </row>
    <row r="130" spans="1:33" ht="25.15" customHeight="1" x14ac:dyDescent="0.25">
      <c r="A130" s="3529">
        <v>4</v>
      </c>
      <c r="B130" s="3531">
        <v>2</v>
      </c>
      <c r="C130" s="3533">
        <v>2</v>
      </c>
      <c r="D130" s="3536" t="s">
        <v>929</v>
      </c>
      <c r="E130" s="1016">
        <v>2</v>
      </c>
      <c r="F130" s="3539" t="s">
        <v>879</v>
      </c>
      <c r="G130" s="891" t="s">
        <v>930</v>
      </c>
      <c r="H130" s="1017" t="s">
        <v>30</v>
      </c>
      <c r="I130" s="874">
        <f>J130+L130</f>
        <v>0</v>
      </c>
      <c r="J130" s="873">
        <f>5-5</f>
        <v>0</v>
      </c>
      <c r="K130" s="873"/>
      <c r="L130" s="848"/>
      <c r="M130" s="874">
        <v>15</v>
      </c>
      <c r="N130" s="873">
        <v>15</v>
      </c>
      <c r="O130" s="873"/>
      <c r="P130" s="848"/>
      <c r="Q130" s="874">
        <v>30</v>
      </c>
      <c r="R130" s="873">
        <v>30</v>
      </c>
      <c r="S130" s="873"/>
      <c r="T130" s="848"/>
      <c r="U130" s="874">
        <v>30</v>
      </c>
      <c r="V130" s="873">
        <v>30</v>
      </c>
      <c r="W130" s="873"/>
      <c r="X130" s="848"/>
    </row>
    <row r="131" spans="1:33" ht="25.15" customHeight="1" thickBot="1" x14ac:dyDescent="0.3">
      <c r="A131" s="3529"/>
      <c r="B131" s="3531"/>
      <c r="C131" s="3534"/>
      <c r="D131" s="3537"/>
      <c r="E131" s="1018">
        <v>26</v>
      </c>
      <c r="F131" s="3540"/>
      <c r="G131" s="2191" t="s">
        <v>931</v>
      </c>
      <c r="H131" s="1019" t="s">
        <v>30</v>
      </c>
      <c r="I131" s="1020">
        <v>12.8</v>
      </c>
      <c r="J131" s="945">
        <v>12.8</v>
      </c>
      <c r="K131" s="945"/>
      <c r="L131" s="946"/>
      <c r="M131" s="1020"/>
      <c r="N131" s="945"/>
      <c r="O131" s="945"/>
      <c r="P131" s="946"/>
      <c r="Q131" s="1020"/>
      <c r="R131" s="945"/>
      <c r="S131" s="945"/>
      <c r="T131" s="946"/>
      <c r="U131" s="1020"/>
      <c r="V131" s="945"/>
      <c r="W131" s="945"/>
      <c r="X131" s="946"/>
    </row>
    <row r="132" spans="1:33" ht="25.15" customHeight="1" thickBot="1" x14ac:dyDescent="0.3">
      <c r="A132" s="3530"/>
      <c r="B132" s="3532"/>
      <c r="C132" s="3535"/>
      <c r="D132" s="3538"/>
      <c r="E132" s="1021"/>
      <c r="F132" s="3541" t="s">
        <v>35</v>
      </c>
      <c r="G132" s="3542"/>
      <c r="H132" s="3543"/>
      <c r="I132" s="906">
        <f>I131</f>
        <v>12.8</v>
      </c>
      <c r="J132" s="904">
        <f>J131</f>
        <v>12.8</v>
      </c>
      <c r="K132" s="904"/>
      <c r="L132" s="905"/>
      <c r="M132" s="906">
        <f t="shared" ref="M132:X132" si="59">M130</f>
        <v>15</v>
      </c>
      <c r="N132" s="904">
        <f t="shared" si="59"/>
        <v>15</v>
      </c>
      <c r="O132" s="904">
        <f t="shared" si="59"/>
        <v>0</v>
      </c>
      <c r="P132" s="905">
        <f t="shared" si="59"/>
        <v>0</v>
      </c>
      <c r="Q132" s="906">
        <f t="shared" si="59"/>
        <v>30</v>
      </c>
      <c r="R132" s="904">
        <f t="shared" si="59"/>
        <v>30</v>
      </c>
      <c r="S132" s="904">
        <f t="shared" si="59"/>
        <v>0</v>
      </c>
      <c r="T132" s="905">
        <f t="shared" si="59"/>
        <v>0</v>
      </c>
      <c r="U132" s="906">
        <f t="shared" si="59"/>
        <v>30</v>
      </c>
      <c r="V132" s="904">
        <f t="shared" si="59"/>
        <v>30</v>
      </c>
      <c r="W132" s="904">
        <f t="shared" si="59"/>
        <v>0</v>
      </c>
      <c r="X132" s="905">
        <f t="shared" si="59"/>
        <v>0</v>
      </c>
    </row>
    <row r="133" spans="1:33" ht="24.75" customHeight="1" thickBot="1" x14ac:dyDescent="0.3">
      <c r="A133" s="2184">
        <v>4</v>
      </c>
      <c r="B133" s="1022">
        <v>2</v>
      </c>
      <c r="C133" s="3517" t="s">
        <v>234</v>
      </c>
      <c r="D133" s="3518"/>
      <c r="E133" s="3518"/>
      <c r="F133" s="3518"/>
      <c r="G133" s="3518"/>
      <c r="H133" s="3519"/>
      <c r="I133" s="925">
        <f>I129+I132</f>
        <v>47.900000000000006</v>
      </c>
      <c r="J133" s="926">
        <f>J129+J132</f>
        <v>13.9</v>
      </c>
      <c r="K133" s="926">
        <f>K129</f>
        <v>0.5</v>
      </c>
      <c r="L133" s="968">
        <f>L129</f>
        <v>34</v>
      </c>
      <c r="M133" s="925">
        <f>M129+M132</f>
        <v>50</v>
      </c>
      <c r="N133" s="926">
        <f>N132</f>
        <v>15</v>
      </c>
      <c r="O133" s="926"/>
      <c r="P133" s="968">
        <f>P129</f>
        <v>35</v>
      </c>
      <c r="Q133" s="925">
        <f>Q129+Q132</f>
        <v>65</v>
      </c>
      <c r="R133" s="926">
        <f>R132</f>
        <v>30</v>
      </c>
      <c r="S133" s="926"/>
      <c r="T133" s="968">
        <f>T129</f>
        <v>35</v>
      </c>
      <c r="U133" s="925">
        <f>U129+U132</f>
        <v>30</v>
      </c>
      <c r="V133" s="926">
        <f>V129+V132</f>
        <v>30</v>
      </c>
      <c r="W133" s="926"/>
      <c r="X133" s="968">
        <f>X129</f>
        <v>0</v>
      </c>
    </row>
    <row r="134" spans="1:33" ht="15" customHeight="1" thickBot="1" x14ac:dyDescent="0.3">
      <c r="A134" s="929">
        <v>4</v>
      </c>
      <c r="B134" s="3520" t="s">
        <v>167</v>
      </c>
      <c r="C134" s="3521"/>
      <c r="D134" s="3521"/>
      <c r="E134" s="3521"/>
      <c r="F134" s="3521"/>
      <c r="G134" s="3521"/>
      <c r="H134" s="3522"/>
      <c r="I134" s="933">
        <f>I123+I133</f>
        <v>164.4</v>
      </c>
      <c r="J134" s="932">
        <f>J123+J133</f>
        <v>95.4</v>
      </c>
      <c r="K134" s="932">
        <f>K123+K133</f>
        <v>0.9</v>
      </c>
      <c r="L134" s="934">
        <f>L123+L133</f>
        <v>69</v>
      </c>
      <c r="M134" s="934">
        <f>M123+M133</f>
        <v>933.59999999999991</v>
      </c>
      <c r="N134" s="934">
        <f t="shared" ref="N134:R134" si="60">N123+N133</f>
        <v>422.2</v>
      </c>
      <c r="O134" s="934">
        <f t="shared" si="60"/>
        <v>23.1</v>
      </c>
      <c r="P134" s="934">
        <f>P123+P133</f>
        <v>511.4</v>
      </c>
      <c r="Q134" s="933">
        <f>Q123+Q133</f>
        <v>519</v>
      </c>
      <c r="R134" s="932">
        <f t="shared" si="60"/>
        <v>210</v>
      </c>
      <c r="S134" s="932">
        <f>SUM(S133,S123)</f>
        <v>0</v>
      </c>
      <c r="T134" s="934">
        <f>T123+T133</f>
        <v>309</v>
      </c>
      <c r="U134" s="934">
        <f>U123+U133</f>
        <v>590</v>
      </c>
      <c r="V134" s="932">
        <f>V123+V133</f>
        <v>260</v>
      </c>
      <c r="W134" s="932">
        <f>SUM(W133,W123)</f>
        <v>0</v>
      </c>
      <c r="X134" s="934">
        <f>X123</f>
        <v>330</v>
      </c>
    </row>
    <row r="135" spans="1:33" ht="15" customHeight="1" thickBot="1" x14ac:dyDescent="0.3">
      <c r="A135" s="3523" t="s">
        <v>208</v>
      </c>
      <c r="B135" s="3524"/>
      <c r="C135" s="3524"/>
      <c r="D135" s="3524"/>
      <c r="E135" s="3524"/>
      <c r="F135" s="3524"/>
      <c r="G135" s="3524"/>
      <c r="H135" s="3525"/>
      <c r="I135" s="1023">
        <f t="shared" ref="I135:N135" si="61">I65+I86+I100+I134</f>
        <v>3887.8</v>
      </c>
      <c r="J135" s="1024">
        <f t="shared" si="61"/>
        <v>3525.6000000000004</v>
      </c>
      <c r="K135" s="1024">
        <f t="shared" si="61"/>
        <v>2670.2000000000003</v>
      </c>
      <c r="L135" s="1025">
        <f t="shared" si="61"/>
        <v>362.20000000000005</v>
      </c>
      <c r="M135" s="1025">
        <f t="shared" si="61"/>
        <v>7667.5</v>
      </c>
      <c r="N135" s="1025">
        <f t="shared" si="61"/>
        <v>4632.5</v>
      </c>
      <c r="O135" s="1025">
        <f>O65+O100+O134</f>
        <v>3128.5</v>
      </c>
      <c r="P135" s="1026">
        <f t="shared" ref="P135:X135" si="62">P65+P86+P100+P134</f>
        <v>3035</v>
      </c>
      <c r="Q135" s="1027">
        <f t="shared" si="62"/>
        <v>6955.2999999999993</v>
      </c>
      <c r="R135" s="1024">
        <f t="shared" si="62"/>
        <v>4503.3</v>
      </c>
      <c r="S135" s="1024">
        <f t="shared" si="62"/>
        <v>3114.2</v>
      </c>
      <c r="T135" s="1025">
        <f t="shared" si="62"/>
        <v>2452</v>
      </c>
      <c r="U135" s="1026">
        <f t="shared" si="62"/>
        <v>4907.5999999999995</v>
      </c>
      <c r="V135" s="1024">
        <f t="shared" si="62"/>
        <v>4577.5999999999995</v>
      </c>
      <c r="W135" s="1024">
        <f t="shared" si="62"/>
        <v>3114.2</v>
      </c>
      <c r="X135" s="1026">
        <f t="shared" si="62"/>
        <v>330</v>
      </c>
      <c r="Z135" s="1028"/>
      <c r="AA135" s="1028"/>
      <c r="AB135" s="1028"/>
      <c r="AC135" s="1028"/>
      <c r="AD135" s="1028"/>
      <c r="AE135" s="1028"/>
      <c r="AF135" s="1028"/>
      <c r="AG135" s="1028"/>
    </row>
    <row r="136" spans="1:33" ht="15" customHeight="1" x14ac:dyDescent="0.25">
      <c r="A136" s="3526" t="s">
        <v>209</v>
      </c>
      <c r="B136" s="3527"/>
      <c r="C136" s="3527"/>
      <c r="D136" s="3527"/>
      <c r="E136" s="3527"/>
      <c r="F136" s="3527"/>
      <c r="G136" s="3527"/>
      <c r="H136" s="3528"/>
      <c r="I136" s="1029">
        <f>I12+I17+I19+I23+I27+I31+I35+I39+I44+I56+I58+I68+I71+I79+I89+I91+I95+I103+I110+I112+I117+I121+I125+I126+I131</f>
        <v>3385.7</v>
      </c>
      <c r="J136" s="1030">
        <f>J12+J17+J19+J23+J27+J31+J35+J39+J44+J56+J58+J71+J89+J91+J95+J103+J112+J117+J121+J131+J130+J125+J126+J127+J119+J110+J108+J107+J106+J105+J83+J79+J73+J68+J62+J52+J51+J50+J49+J48+J47+J46</f>
        <v>3149.5000000000005</v>
      </c>
      <c r="K136" s="1030">
        <f t="shared" ref="K136:L136" si="63">K12+K17+K19+K23+K27+K31+K35+K39+K44+K56+K58+K71+K89+K91+K95+K103+K112+K117+K121+K131+K130+K125+K126+K127+K119+K110+K108+K107+K106+K105+K83+K79+K73+K68+K62+K52+K51+K50+K49+K48+K47+K46</f>
        <v>2499.2000000000003</v>
      </c>
      <c r="L136" s="1030">
        <f t="shared" si="63"/>
        <v>236.2</v>
      </c>
      <c r="M136" s="1029">
        <f>SUM(N136+P136)</f>
        <v>5160.1000000000004</v>
      </c>
      <c r="N136" s="1030">
        <f>N12+N17+N19+N23+N27+N31+N35+N39+N44+N56+N58+N71+N89+N91+N95+N103+N112+N117+N121+N131+N130+N125+N126+N127+N119+N110+N108+N107+N106+N105+N83+N79+N73+N68+N62+N52+N51+N50+N49+N48+N47+N46</f>
        <v>4233.4000000000005</v>
      </c>
      <c r="O136" s="1030">
        <f t="shared" ref="O136:P136" si="64">O12+O17+O19+O23+O27+O31+O35+O39+O44+O56+O58+O71+O89+O91+O95+O103+O112+O117+O121+O131+O130+O125+O126+O127+O119+O110+O108+O107+O106+O105+O83+O79+O73+O68+O62+O52+O51+O50+O49+O48+O47+O46</f>
        <v>2954.7</v>
      </c>
      <c r="P136" s="1521">
        <f t="shared" si="64"/>
        <v>926.69999999999993</v>
      </c>
      <c r="Q136" s="1031">
        <f>Q12+Q19+Q23+Q27+Q31+Q35+Q39+Q44+Q46+Q56+Q62+Q73+Q79+Q83+Q89+Q91+Q95+Q103+Q106+Q110+Q117+Q119+Q121+Q127+Q130</f>
        <v>6470.5</v>
      </c>
      <c r="R136" s="1030">
        <f>R12+R17+R19+R23+R27+R31+R35+R39+R44+R56+R58+R71+R89+R91+R95+R103+R112+R117+R121+R131+R130+R125+R126+R127+R119+R110+R108+R107+R106+R105+R83+R79+R73+R68+R62+R52+R51+R50+R49+R48+R47+R46</f>
        <v>4168.5</v>
      </c>
      <c r="S136" s="1030">
        <f t="shared" ref="S136:T136" si="65">S12+S17+S19+S23+S27+S31+S35+S39+S44+S56+S58+S71+S89+S91+S95+S103+S112+S117+S121+S131+S130+S125+S126+S127+S119+S110+S108+S107+S106+S105+S83+S79+S73+S68+S62+S52+S51+S50+S49+S48+S47+S46</f>
        <v>2982.7999999999997</v>
      </c>
      <c r="T136" s="1030">
        <f t="shared" si="65"/>
        <v>2302</v>
      </c>
      <c r="U136" s="1031">
        <f>U12+U19+U23+U27+U31+U35+U39+U44+U46+U56+U62+U89+U91+U95+U103+U106+U110+U117+U119+U121+U130</f>
        <v>4563</v>
      </c>
      <c r="V136" s="1030">
        <f>V12+V17+V19+V23+V27+V31+V35+V39+V44+V56+V58+V71+V89+V91+V95+V103+V112+V117+V121+V131+V130+V125+V126+V127+V119+V110+V108+V107+V106+V105+V83+V79+V73+V68+V62+V52+V51+V50+V49+V48+V47+V46</f>
        <v>4233</v>
      </c>
      <c r="W136" s="1030">
        <f t="shared" ref="W136:X136" si="66">W12+W17+W19+W23+W27+W31+W35+W39+W44+W56+W58+W71+W89+W91+W95+W103+W112+W117+W121+W131+W130+W125+W126+W127+W119+W110+W108+W107+W106+W105+W83+W79+W73+W68+W62+W52+W51+W50+W49+W48+W47+W46</f>
        <v>2982.7999999999997</v>
      </c>
      <c r="X136" s="1521">
        <f t="shared" si="66"/>
        <v>330</v>
      </c>
      <c r="Y136" s="2346"/>
      <c r="Z136" s="1028"/>
      <c r="AA136" s="1028"/>
      <c r="AB136" s="1028"/>
      <c r="AC136" s="1028"/>
      <c r="AD136" s="1028"/>
      <c r="AE136" s="1028"/>
      <c r="AF136" s="1028"/>
      <c r="AG136" s="1028"/>
    </row>
    <row r="137" spans="1:33" ht="15" customHeight="1" x14ac:dyDescent="0.25">
      <c r="A137" s="3504" t="s">
        <v>215</v>
      </c>
      <c r="B137" s="3505"/>
      <c r="C137" s="3505"/>
      <c r="D137" s="3505"/>
      <c r="E137" s="3505"/>
      <c r="F137" s="3505"/>
      <c r="G137" s="3505"/>
      <c r="H137" s="3506"/>
      <c r="I137" s="1032">
        <f>I13+I16+I20+I24+I28+I32+I36+I41+I96</f>
        <v>316.10000000000002</v>
      </c>
      <c r="J137" s="1033">
        <f>J96+J41+J36+J32+J28+J24+J20+J16+J13</f>
        <v>312.2</v>
      </c>
      <c r="K137" s="1033">
        <f>K96+K41+K36+K32+K28+K24+K20+K16+K13</f>
        <v>118</v>
      </c>
      <c r="L137" s="1036">
        <f>L96+L41+L36+L32+L28+L24+L20+L16+L13</f>
        <v>3.9</v>
      </c>
      <c r="M137" s="1032">
        <f>SUM(N137,P137)</f>
        <v>341.90000000000003</v>
      </c>
      <c r="N137" s="1036">
        <f>N13+N16+N20+N24+N28+N32+N36+N41+N96</f>
        <v>338.1</v>
      </c>
      <c r="O137" s="1036">
        <f>SUM(O13,O16,O20,O24,O28,O32,,O36,O41,O96,)</f>
        <v>131.4</v>
      </c>
      <c r="P137" s="1034">
        <f>P13+P16+P20+P24+P28+P32+P36+P41+P96</f>
        <v>3.8</v>
      </c>
      <c r="Q137" s="1035">
        <f>SUM(R137,T137)</f>
        <v>334.8</v>
      </c>
      <c r="R137" s="1036">
        <f>SUM(R13,R16,R20,R24,R28,R32,R36,R41,R96)</f>
        <v>334.8</v>
      </c>
      <c r="S137" s="1036">
        <f>SUM(S13,S16,S20,S24,S28,S32,,S36,S41,S96,)</f>
        <v>131.4</v>
      </c>
      <c r="T137" s="1034">
        <f>SUM(T13,T16,T20,T24,T28,T32,,T36,T41,T96,)</f>
        <v>0</v>
      </c>
      <c r="U137" s="1035">
        <f>SUM(V137,X137)</f>
        <v>344.6</v>
      </c>
      <c r="V137" s="1036">
        <f>SUM(V13,V16,V20,V24,V28,V32,,V36,V41,V96,)</f>
        <v>344.6</v>
      </c>
      <c r="W137" s="1036">
        <f>SUM(W13,W16,W20,W24,W28,W32,,W36,W41,W96,)</f>
        <v>131.4</v>
      </c>
      <c r="X137" s="1034">
        <f>SUM(X13,X16,X20,X24,X28,X32,,X36,X41,X96,)</f>
        <v>0</v>
      </c>
      <c r="Z137" s="1028"/>
      <c r="AA137" s="1028"/>
      <c r="AB137" s="1028"/>
      <c r="AC137" s="1028"/>
      <c r="AD137" s="1028"/>
      <c r="AE137" s="1028"/>
      <c r="AF137" s="1028"/>
      <c r="AG137" s="1028"/>
    </row>
    <row r="138" spans="1:33" ht="15" customHeight="1" x14ac:dyDescent="0.25">
      <c r="A138" s="3504" t="s">
        <v>300</v>
      </c>
      <c r="B138" s="3505"/>
      <c r="C138" s="3505"/>
      <c r="D138" s="3505"/>
      <c r="E138" s="3505"/>
      <c r="F138" s="3505"/>
      <c r="G138" s="3505"/>
      <c r="H138" s="3506"/>
      <c r="I138" s="1032">
        <f>I60+I70+I113+I128</f>
        <v>72.5</v>
      </c>
      <c r="J138" s="1033">
        <f>J60+J70+J113+J128</f>
        <v>29.1</v>
      </c>
      <c r="K138" s="1033">
        <f>+K70+K76+K128+K113+K60</f>
        <v>19.600000000000001</v>
      </c>
      <c r="L138" s="1036">
        <f>+L70+L76+L128+L113+L60</f>
        <v>43.4</v>
      </c>
      <c r="M138" s="1032">
        <f>SUM(N138,P138)</f>
        <v>380.9</v>
      </c>
      <c r="N138" s="1033">
        <f>N113</f>
        <v>31.5</v>
      </c>
      <c r="O138" s="1033">
        <f>O60+O70+O76+O113+O128</f>
        <v>12.9</v>
      </c>
      <c r="P138" s="1034">
        <f>SUM(P60,P70,P76,P113,P128,)</f>
        <v>349.4</v>
      </c>
      <c r="Q138" s="1035">
        <f>SUM(R138,T138)</f>
        <v>0</v>
      </c>
      <c r="R138" s="1033">
        <f>SUM(R60,R70,R76,R113,R128,)</f>
        <v>0</v>
      </c>
      <c r="S138" s="1033">
        <f>SUM(S60,S70,S76,S113,S128,)</f>
        <v>0</v>
      </c>
      <c r="T138" s="1034">
        <f>SUM(T60,T70,T76,T113,T128,)</f>
        <v>0</v>
      </c>
      <c r="U138" s="1035">
        <f>SUM(V138,X138)</f>
        <v>0</v>
      </c>
      <c r="V138" s="1033">
        <f>SUM(V60,V70,V76,V113,V128,)</f>
        <v>0</v>
      </c>
      <c r="W138" s="1033">
        <f>SUM(W60,W70,W76,W113,W128,)</f>
        <v>0</v>
      </c>
      <c r="X138" s="1034">
        <f>SUM(X60,X70,X76,X113,X128,)</f>
        <v>0</v>
      </c>
      <c r="Z138" s="1028"/>
      <c r="AA138" s="1028"/>
      <c r="AB138" s="1028"/>
      <c r="AC138" s="1028"/>
      <c r="AD138" s="1028"/>
      <c r="AE138" s="1028"/>
      <c r="AF138" s="1028"/>
      <c r="AG138" s="1028"/>
    </row>
    <row r="139" spans="1:33" ht="15" customHeight="1" x14ac:dyDescent="0.25">
      <c r="A139" s="3504" t="s">
        <v>499</v>
      </c>
      <c r="B139" s="3505"/>
      <c r="C139" s="3505"/>
      <c r="D139" s="3505"/>
      <c r="E139" s="3505"/>
      <c r="F139" s="3505"/>
      <c r="G139" s="3505"/>
      <c r="H139" s="3506"/>
      <c r="I139" s="1037">
        <f t="shared" ref="I139:X139" si="67">I115</f>
        <v>0</v>
      </c>
      <c r="J139" s="1033">
        <f t="shared" si="67"/>
        <v>0</v>
      </c>
      <c r="K139" s="1033">
        <f t="shared" si="67"/>
        <v>0</v>
      </c>
      <c r="L139" s="1035">
        <f t="shared" si="67"/>
        <v>0</v>
      </c>
      <c r="M139" s="1032">
        <f t="shared" ref="M139:M140" si="68">SUM(N139,P139)</f>
        <v>0</v>
      </c>
      <c r="N139" s="1033">
        <f t="shared" si="67"/>
        <v>0</v>
      </c>
      <c r="O139" s="1033">
        <f t="shared" si="67"/>
        <v>0</v>
      </c>
      <c r="P139" s="1034">
        <f t="shared" si="67"/>
        <v>0</v>
      </c>
      <c r="Q139" s="1038">
        <f t="shared" si="67"/>
        <v>0</v>
      </c>
      <c r="R139" s="1033">
        <f t="shared" si="67"/>
        <v>0</v>
      </c>
      <c r="S139" s="1033">
        <f t="shared" si="67"/>
        <v>0</v>
      </c>
      <c r="T139" s="1035">
        <f t="shared" si="67"/>
        <v>0</v>
      </c>
      <c r="U139" s="1037">
        <f t="shared" si="67"/>
        <v>0</v>
      </c>
      <c r="V139" s="1033">
        <f t="shared" si="67"/>
        <v>0</v>
      </c>
      <c r="W139" s="1033">
        <f t="shared" si="67"/>
        <v>0</v>
      </c>
      <c r="X139" s="1034">
        <f t="shared" si="67"/>
        <v>0</v>
      </c>
      <c r="Z139" s="1028"/>
      <c r="AA139" s="1028"/>
      <c r="AB139" s="1028"/>
      <c r="AC139" s="1028"/>
      <c r="AD139" s="1028"/>
      <c r="AE139" s="1028"/>
      <c r="AF139" s="1028"/>
      <c r="AG139" s="1028"/>
    </row>
    <row r="140" spans="1:33" ht="15" customHeight="1" x14ac:dyDescent="0.25">
      <c r="A140" s="3504" t="s">
        <v>220</v>
      </c>
      <c r="B140" s="3505"/>
      <c r="C140" s="3505"/>
      <c r="D140" s="3505"/>
      <c r="E140" s="3505"/>
      <c r="F140" s="3505"/>
      <c r="G140" s="3505"/>
      <c r="H140" s="3506"/>
      <c r="I140" s="1032"/>
      <c r="J140" s="1033">
        <f>SUM(J80,J74)</f>
        <v>0</v>
      </c>
      <c r="K140" s="1033">
        <f t="shared" ref="K140:L140" si="69">SUM(K80,K74)</f>
        <v>0</v>
      </c>
      <c r="L140" s="1033">
        <f t="shared" si="69"/>
        <v>0</v>
      </c>
      <c r="M140" s="1032">
        <f t="shared" si="68"/>
        <v>700</v>
      </c>
      <c r="N140" s="1033">
        <f>SUM(N80,N74)</f>
        <v>0</v>
      </c>
      <c r="O140" s="1033">
        <f t="shared" ref="O140:P140" si="70">SUM(O80,O74)</f>
        <v>0</v>
      </c>
      <c r="P140" s="1033">
        <f t="shared" si="70"/>
        <v>700</v>
      </c>
      <c r="Q140" s="1035"/>
      <c r="R140" s="1033">
        <f>SUM(R80,R74)</f>
        <v>0</v>
      </c>
      <c r="S140" s="1033">
        <f t="shared" ref="S140:T140" si="71">SUM(S80,S74)</f>
        <v>0</v>
      </c>
      <c r="T140" s="1033">
        <f t="shared" si="71"/>
        <v>0</v>
      </c>
      <c r="U140" s="1032"/>
      <c r="V140" s="1033">
        <f>SUM(V80,V74)</f>
        <v>0</v>
      </c>
      <c r="W140" s="1033">
        <f t="shared" ref="W140:X140" si="72">SUM(W80,W74)</f>
        <v>0</v>
      </c>
      <c r="X140" s="1034">
        <f t="shared" si="72"/>
        <v>0</v>
      </c>
      <c r="Z140" s="1028"/>
      <c r="AA140" s="1028"/>
      <c r="AB140" s="1028"/>
      <c r="AC140" s="1028"/>
      <c r="AD140" s="1028"/>
      <c r="AE140" s="1028"/>
      <c r="AF140" s="1028"/>
      <c r="AG140" s="1028"/>
    </row>
    <row r="141" spans="1:33" ht="15.75" customHeight="1" x14ac:dyDescent="0.25">
      <c r="A141" s="3504" t="s">
        <v>302</v>
      </c>
      <c r="B141" s="3505"/>
      <c r="C141" s="3505"/>
      <c r="D141" s="3505"/>
      <c r="E141" s="3505"/>
      <c r="F141" s="3505"/>
      <c r="G141" s="3505"/>
      <c r="H141" s="3506"/>
      <c r="I141" s="1032">
        <f>I114</f>
        <v>0</v>
      </c>
      <c r="J141" s="1033">
        <f>J114</f>
        <v>0</v>
      </c>
      <c r="K141" s="1033">
        <f>+K114</f>
        <v>0</v>
      </c>
      <c r="L141" s="1035">
        <f>+L114</f>
        <v>0</v>
      </c>
      <c r="M141" s="1032">
        <f t="shared" ref="M141:X141" si="73">M114</f>
        <v>0</v>
      </c>
      <c r="N141" s="1033">
        <f t="shared" si="73"/>
        <v>0</v>
      </c>
      <c r="O141" s="1033">
        <f t="shared" si="73"/>
        <v>0</v>
      </c>
      <c r="P141" s="1522">
        <f t="shared" si="73"/>
        <v>0</v>
      </c>
      <c r="Q141" s="1035">
        <f t="shared" si="73"/>
        <v>0</v>
      </c>
      <c r="R141" s="1033">
        <f t="shared" si="73"/>
        <v>0</v>
      </c>
      <c r="S141" s="1033">
        <f t="shared" si="73"/>
        <v>0</v>
      </c>
      <c r="T141" s="1035">
        <f t="shared" si="73"/>
        <v>0</v>
      </c>
      <c r="U141" s="1032">
        <f t="shared" si="73"/>
        <v>0</v>
      </c>
      <c r="V141" s="1033">
        <f t="shared" si="73"/>
        <v>0</v>
      </c>
      <c r="W141" s="1033">
        <f t="shared" si="73"/>
        <v>0</v>
      </c>
      <c r="X141" s="1034">
        <f t="shared" si="73"/>
        <v>0</v>
      </c>
      <c r="Z141" s="1028"/>
      <c r="AA141" s="1028"/>
      <c r="AB141" s="1028"/>
      <c r="AC141" s="1028"/>
      <c r="AD141" s="1028"/>
      <c r="AE141" s="1028"/>
      <c r="AF141" s="1028"/>
      <c r="AG141" s="1028"/>
    </row>
    <row r="142" spans="1:33" ht="15" customHeight="1" x14ac:dyDescent="0.25">
      <c r="A142" s="3504" t="s">
        <v>497</v>
      </c>
      <c r="B142" s="3505"/>
      <c r="C142" s="3505"/>
      <c r="D142" s="3505"/>
      <c r="E142" s="3505"/>
      <c r="F142" s="3505"/>
      <c r="G142" s="3505"/>
      <c r="H142" s="3506"/>
      <c r="I142" s="1039">
        <f>I59+I69+I75</f>
        <v>8.5</v>
      </c>
      <c r="J142" s="1033">
        <f>J69+J75+J59</f>
        <v>0.8</v>
      </c>
      <c r="K142" s="1033">
        <f>K69+K75+K59</f>
        <v>0.3</v>
      </c>
      <c r="L142" s="1519">
        <f>L69+L75+L59</f>
        <v>7.7</v>
      </c>
      <c r="M142" s="1039">
        <f>M75</f>
        <v>20.399999999999999</v>
      </c>
      <c r="N142" s="1033">
        <f>SUM(N59,N69,N75)</f>
        <v>0</v>
      </c>
      <c r="O142" s="1033">
        <f>SUM(O59,O69,O75)</f>
        <v>0</v>
      </c>
      <c r="P142" s="1523">
        <f>P75+P69</f>
        <v>20.399999999999999</v>
      </c>
      <c r="Q142" s="1519">
        <f>Q75</f>
        <v>0</v>
      </c>
      <c r="R142" s="1033">
        <f>SUM(R59,R69,R75)</f>
        <v>0</v>
      </c>
      <c r="S142" s="1033">
        <f>SUM(S59,S69,S75)</f>
        <v>0</v>
      </c>
      <c r="T142" s="1040">
        <f>SUM(T59,T69,T75)</f>
        <v>0</v>
      </c>
      <c r="U142" s="1039">
        <f>U75</f>
        <v>0</v>
      </c>
      <c r="V142" s="1033">
        <f>SUM(V59,V69,V75)</f>
        <v>0</v>
      </c>
      <c r="W142" s="1033">
        <f>SUM(W59,W69,W75)</f>
        <v>0</v>
      </c>
      <c r="X142" s="1041">
        <f>SUM(X59,X69,X75)</f>
        <v>0</v>
      </c>
      <c r="Z142" s="1028"/>
      <c r="AA142" s="1028"/>
      <c r="AB142" s="1028"/>
      <c r="AC142" s="1028"/>
      <c r="AD142" s="1028"/>
      <c r="AE142" s="1028"/>
      <c r="AF142" s="1028"/>
      <c r="AG142" s="1028"/>
    </row>
    <row r="143" spans="1:33" ht="22.5" customHeight="1" x14ac:dyDescent="0.25">
      <c r="A143" s="3504" t="s">
        <v>219</v>
      </c>
      <c r="B143" s="3505"/>
      <c r="C143" s="3505"/>
      <c r="D143" s="3505"/>
      <c r="E143" s="3505"/>
      <c r="F143" s="3505"/>
      <c r="G143" s="3505"/>
      <c r="H143" s="3506"/>
      <c r="I143" s="1039"/>
      <c r="J143" s="1033"/>
      <c r="K143" s="1033"/>
      <c r="L143" s="1519"/>
      <c r="M143" s="1039">
        <f t="shared" ref="M143:X143" si="74">M77</f>
        <v>0</v>
      </c>
      <c r="N143" s="1033">
        <f t="shared" si="74"/>
        <v>0</v>
      </c>
      <c r="O143" s="1033">
        <f t="shared" si="74"/>
        <v>0</v>
      </c>
      <c r="P143" s="1523">
        <f t="shared" si="74"/>
        <v>0</v>
      </c>
      <c r="Q143" s="1519">
        <f t="shared" si="74"/>
        <v>0</v>
      </c>
      <c r="R143" s="1033">
        <f t="shared" si="74"/>
        <v>0</v>
      </c>
      <c r="S143" s="1033">
        <f t="shared" si="74"/>
        <v>0</v>
      </c>
      <c r="T143" s="1040">
        <f t="shared" si="74"/>
        <v>0</v>
      </c>
      <c r="U143" s="1039">
        <f t="shared" si="74"/>
        <v>0</v>
      </c>
      <c r="V143" s="1033">
        <f t="shared" si="74"/>
        <v>0</v>
      </c>
      <c r="W143" s="1033">
        <f t="shared" si="74"/>
        <v>0</v>
      </c>
      <c r="X143" s="1041">
        <f t="shared" si="74"/>
        <v>0</v>
      </c>
      <c r="Z143" s="1028"/>
      <c r="AA143" s="1028"/>
      <c r="AB143" s="1028"/>
      <c r="AC143" s="1028"/>
      <c r="AD143" s="1028"/>
      <c r="AE143" s="1028"/>
      <c r="AF143" s="1028"/>
      <c r="AG143" s="1028"/>
    </row>
    <row r="144" spans="1:33" ht="15" customHeight="1" x14ac:dyDescent="0.25">
      <c r="A144" s="3504" t="s">
        <v>217</v>
      </c>
      <c r="B144" s="3505"/>
      <c r="C144" s="3505"/>
      <c r="D144" s="3505"/>
      <c r="E144" s="3505"/>
      <c r="F144" s="3505"/>
      <c r="G144" s="3505"/>
      <c r="H144" s="3506"/>
      <c r="I144" s="1039">
        <f>J144+L144</f>
        <v>0.80000000000001137</v>
      </c>
      <c r="J144" s="1033"/>
      <c r="K144" s="1033">
        <f>K77</f>
        <v>0</v>
      </c>
      <c r="L144" s="1519">
        <f>L77</f>
        <v>0.80000000000001137</v>
      </c>
      <c r="M144" s="1039"/>
      <c r="N144" s="1033"/>
      <c r="O144" s="1033"/>
      <c r="P144" s="1523">
        <f>SUM(P77,)</f>
        <v>0</v>
      </c>
      <c r="Q144" s="1519"/>
      <c r="R144" s="1033"/>
      <c r="S144" s="1033"/>
      <c r="T144" s="1040">
        <f>SUM(T77,)</f>
        <v>0</v>
      </c>
      <c r="U144" s="1039"/>
      <c r="V144" s="1033"/>
      <c r="W144" s="1033"/>
      <c r="X144" s="1041">
        <f>SUM(X77,)</f>
        <v>0</v>
      </c>
      <c r="Z144" s="1028"/>
      <c r="AA144" s="1028"/>
      <c r="AB144" s="1028"/>
      <c r="AC144" s="1028"/>
      <c r="AD144" s="1028"/>
      <c r="AE144" s="1028"/>
      <c r="AF144" s="1028"/>
      <c r="AG144" s="1028"/>
    </row>
    <row r="145" spans="1:33" ht="15.75" customHeight="1" x14ac:dyDescent="0.25">
      <c r="A145" s="3504" t="s">
        <v>622</v>
      </c>
      <c r="B145" s="3505"/>
      <c r="C145" s="3505"/>
      <c r="D145" s="3505"/>
      <c r="E145" s="3505"/>
      <c r="F145" s="3505"/>
      <c r="G145" s="3505"/>
      <c r="H145" s="3506"/>
      <c r="I145" s="1037">
        <f>J145+L145</f>
        <v>0</v>
      </c>
      <c r="J145" s="1033">
        <f>J40</f>
        <v>0</v>
      </c>
      <c r="K145" s="1033">
        <f>K40</f>
        <v>0</v>
      </c>
      <c r="L145" s="1036">
        <f>L40</f>
        <v>0</v>
      </c>
      <c r="M145" s="1037"/>
      <c r="N145" s="1033">
        <f>N40</f>
        <v>0</v>
      </c>
      <c r="O145" s="1033">
        <f>O40</f>
        <v>0</v>
      </c>
      <c r="P145" s="1034">
        <f>P40</f>
        <v>0</v>
      </c>
      <c r="Q145" s="1038"/>
      <c r="R145" s="1033">
        <f>R40</f>
        <v>0</v>
      </c>
      <c r="S145" s="1033">
        <f>S40</f>
        <v>0</v>
      </c>
      <c r="T145" s="1033">
        <f>T40</f>
        <v>0</v>
      </c>
      <c r="U145" s="1037"/>
      <c r="V145" s="1033">
        <f>V40</f>
        <v>0</v>
      </c>
      <c r="W145" s="1033">
        <f>W40</f>
        <v>0</v>
      </c>
      <c r="X145" s="1034">
        <f>X40</f>
        <v>0</v>
      </c>
      <c r="Z145" s="1028"/>
      <c r="AA145" s="1028"/>
      <c r="AB145" s="1028"/>
      <c r="AC145" s="1028"/>
      <c r="AD145" s="1028"/>
      <c r="AE145" s="1028"/>
      <c r="AF145" s="1028"/>
      <c r="AG145" s="1028"/>
    </row>
    <row r="146" spans="1:33" ht="15.75" customHeight="1" x14ac:dyDescent="0.25">
      <c r="A146" s="3504" t="s">
        <v>623</v>
      </c>
      <c r="B146" s="3505"/>
      <c r="C146" s="3505"/>
      <c r="D146" s="3505"/>
      <c r="E146" s="3505"/>
      <c r="F146" s="3505"/>
      <c r="G146" s="3505"/>
      <c r="H146" s="3506"/>
      <c r="I146" s="1037">
        <f>I14+I21+I25+I29+I33+I37+I42+I97</f>
        <v>104.19999999999999</v>
      </c>
      <c r="J146" s="1033">
        <f>J14+J21+J25+J29+J33+J37+J42+J97</f>
        <v>34</v>
      </c>
      <c r="K146" s="1033">
        <f>K42+K37+K33+K25+K29+K14+K21+K97</f>
        <v>33.099999999999994</v>
      </c>
      <c r="L146" s="1036">
        <f>L42+L37+L33+L25+L29+L14+L21+L97</f>
        <v>70.2</v>
      </c>
      <c r="M146" s="1037">
        <f>N146+P146</f>
        <v>107.2</v>
      </c>
      <c r="N146" s="1033">
        <f>N42+N37+N33+N25+N29+N14+N21+N97</f>
        <v>29.5</v>
      </c>
      <c r="O146" s="1033">
        <f>O42+O37+O33+O25+O29+O14+O21+O97</f>
        <v>29.5</v>
      </c>
      <c r="P146" s="1034">
        <f>SUM(P14,P21,P25,P29,P33,P37,P42,)</f>
        <v>77.7</v>
      </c>
      <c r="Q146" s="1038">
        <f>R146+T146</f>
        <v>0</v>
      </c>
      <c r="R146" s="1033">
        <f>R42+R37+R33+R25+R29+R14+R21+R97</f>
        <v>0</v>
      </c>
      <c r="S146" s="1033">
        <f>S42+S37+S33+S25+S29+S14+S21+S97</f>
        <v>0</v>
      </c>
      <c r="T146" s="1034">
        <f>SUM(T14,T21,T25,T29,T33,T37,T42,)</f>
        <v>0</v>
      </c>
      <c r="U146" s="1038">
        <f>V146+X146</f>
        <v>0</v>
      </c>
      <c r="V146" s="1033">
        <f>V42+V37+V33+V25+V29+V14+V21+V97</f>
        <v>0</v>
      </c>
      <c r="W146" s="1033">
        <f>W42+W37+W33+W25+W29+W14+W21+W97</f>
        <v>0</v>
      </c>
      <c r="X146" s="1034">
        <f>SUM(X14,X21,X25,X29,X33,X37,X42,)</f>
        <v>0</v>
      </c>
      <c r="Z146" s="1028"/>
      <c r="AA146" s="1028"/>
      <c r="AB146" s="1028"/>
      <c r="AC146" s="1028"/>
      <c r="AD146" s="1028"/>
      <c r="AE146" s="1028"/>
      <c r="AF146" s="1028"/>
      <c r="AG146" s="1028"/>
    </row>
    <row r="147" spans="1:33" ht="27" customHeight="1" thickBot="1" x14ac:dyDescent="0.3">
      <c r="A147" s="3507" t="s">
        <v>932</v>
      </c>
      <c r="B147" s="3508"/>
      <c r="C147" s="3508"/>
      <c r="D147" s="3508"/>
      <c r="E147" s="3508"/>
      <c r="F147" s="3508"/>
      <c r="G147" s="3508"/>
      <c r="H147" s="3509"/>
      <c r="I147" s="1037">
        <f>J147+L147</f>
        <v>0</v>
      </c>
      <c r="J147" s="1033">
        <f t="shared" ref="J147:X147" si="75">J81</f>
        <v>0</v>
      </c>
      <c r="K147" s="1033">
        <f t="shared" si="75"/>
        <v>0</v>
      </c>
      <c r="L147" s="1520">
        <f t="shared" si="75"/>
        <v>0</v>
      </c>
      <c r="M147" s="1524">
        <f t="shared" si="75"/>
        <v>957</v>
      </c>
      <c r="N147" s="1525">
        <f t="shared" si="75"/>
        <v>0</v>
      </c>
      <c r="O147" s="1525">
        <f t="shared" si="75"/>
        <v>0</v>
      </c>
      <c r="P147" s="1042">
        <f t="shared" si="75"/>
        <v>957</v>
      </c>
      <c r="Q147" s="1038">
        <f t="shared" si="75"/>
        <v>150</v>
      </c>
      <c r="R147" s="1033">
        <f t="shared" si="75"/>
        <v>0</v>
      </c>
      <c r="S147" s="1033">
        <f t="shared" si="75"/>
        <v>0</v>
      </c>
      <c r="T147" s="1042">
        <f t="shared" si="75"/>
        <v>150</v>
      </c>
      <c r="U147" s="1038">
        <f t="shared" si="75"/>
        <v>0</v>
      </c>
      <c r="V147" s="1033">
        <f t="shared" si="75"/>
        <v>0</v>
      </c>
      <c r="W147" s="1033">
        <f t="shared" si="75"/>
        <v>0</v>
      </c>
      <c r="X147" s="1042">
        <f t="shared" si="75"/>
        <v>0</v>
      </c>
      <c r="Z147" s="1028"/>
      <c r="AA147" s="1028"/>
      <c r="AB147" s="1028"/>
      <c r="AC147" s="1028"/>
      <c r="AD147" s="1028"/>
      <c r="AE147" s="1028"/>
      <c r="AF147" s="1028"/>
      <c r="AG147" s="1028"/>
    </row>
    <row r="148" spans="1:33" ht="15.75" customHeight="1" thickBot="1" x14ac:dyDescent="0.3">
      <c r="A148" s="3510" t="s">
        <v>222</v>
      </c>
      <c r="B148" s="3511"/>
      <c r="C148" s="3511"/>
      <c r="D148" s="3511"/>
      <c r="E148" s="3511"/>
      <c r="F148" s="3511"/>
      <c r="G148" s="3511"/>
      <c r="H148" s="3512"/>
      <c r="I148" s="1043">
        <f>I136+I137+I138+I139+I141+I142+I143+I144+I145+I146+I147</f>
        <v>3887.7999999999997</v>
      </c>
      <c r="J148" s="1044">
        <f>J136+J137+J138+J139+J141+J142+J143+J144+J145+J146+J147</f>
        <v>3525.6000000000004</v>
      </c>
      <c r="K148" s="1044">
        <f>SUM(K136:K147)</f>
        <v>2670.2000000000003</v>
      </c>
      <c r="L148" s="1044">
        <f>SUM(L136:L147)</f>
        <v>362.2</v>
      </c>
      <c r="M148" s="1043">
        <f>SUM(N148+P148)</f>
        <v>7667.5000000000009</v>
      </c>
      <c r="N148" s="1044">
        <f>SUM(N136:N147)</f>
        <v>4632.5000000000009</v>
      </c>
      <c r="O148" s="1044">
        <f>O136+O137+O138+O139+O141+O142+O144+O145+O146+O147</f>
        <v>3128.5</v>
      </c>
      <c r="P148" s="1044">
        <f>SUM(P136:P147)</f>
        <v>3035</v>
      </c>
      <c r="Q148" s="1043">
        <f>Q136+Q137+Q138+Q139+Q141+Q142+Q143+Q144+Q145+Q146+Q147</f>
        <v>6955.3</v>
      </c>
      <c r="R148" s="1044">
        <f>SUM(R136:R147)</f>
        <v>4503.3</v>
      </c>
      <c r="S148" s="1044">
        <f>SUM(S136:S147)</f>
        <v>3114.2</v>
      </c>
      <c r="T148" s="1045">
        <f>SUM(T136:T147)</f>
        <v>2452</v>
      </c>
      <c r="U148" s="1043">
        <f>U136+U137+U138+U139+U141+U142+U143+U144+U145+U146+U147</f>
        <v>4907.6000000000004</v>
      </c>
      <c r="V148" s="1044">
        <f>SUM(V136:V147)</f>
        <v>4577.6000000000004</v>
      </c>
      <c r="W148" s="1044">
        <f>SUM(W136:W147)</f>
        <v>3114.2</v>
      </c>
      <c r="X148" s="1045">
        <f>X136+X147</f>
        <v>330</v>
      </c>
      <c r="Z148" s="1028"/>
      <c r="AA148" s="1028"/>
      <c r="AB148" s="1028"/>
      <c r="AC148" s="1028"/>
      <c r="AD148" s="1028"/>
      <c r="AE148" s="1028"/>
      <c r="AF148" s="1028"/>
      <c r="AG148" s="1028"/>
    </row>
    <row r="149" spans="1:33" x14ac:dyDescent="0.25">
      <c r="A149" s="3513"/>
      <c r="B149" s="3513"/>
      <c r="C149" s="3513"/>
      <c r="D149" s="3513"/>
      <c r="E149" s="3513"/>
      <c r="F149" s="3513"/>
      <c r="G149" s="3513"/>
      <c r="H149" s="3513"/>
      <c r="I149" s="1046"/>
      <c r="J149" s="1047"/>
      <c r="K149" s="1047"/>
      <c r="L149" s="1047"/>
    </row>
    <row r="150" spans="1:33" x14ac:dyDescent="0.25">
      <c r="A150" s="3514"/>
      <c r="B150" s="3514"/>
      <c r="C150" s="3514"/>
      <c r="D150" s="3514"/>
      <c r="E150" s="3514"/>
      <c r="F150" s="1048"/>
      <c r="G150" s="1049"/>
      <c r="H150" s="1050"/>
      <c r="I150" s="952">
        <f>I135-I148</f>
        <v>0</v>
      </c>
      <c r="J150" s="952">
        <f>J135-J148</f>
        <v>0</v>
      </c>
      <c r="K150" s="952">
        <f>K135-K148</f>
        <v>0</v>
      </c>
      <c r="L150" s="952">
        <f>L135-L148</f>
        <v>0</v>
      </c>
      <c r="M150" s="952">
        <f>SUM(M148-M135)</f>
        <v>9.0949470177292824E-13</v>
      </c>
      <c r="N150" s="952">
        <f t="shared" ref="N150:X150" si="76">N135-N148</f>
        <v>0</v>
      </c>
      <c r="O150" s="952">
        <f t="shared" si="76"/>
        <v>0</v>
      </c>
      <c r="P150" s="952">
        <f t="shared" si="76"/>
        <v>0</v>
      </c>
      <c r="Q150" s="952">
        <f t="shared" si="76"/>
        <v>0</v>
      </c>
      <c r="R150" s="952">
        <f t="shared" si="76"/>
        <v>0</v>
      </c>
      <c r="S150" s="952">
        <f t="shared" si="76"/>
        <v>0</v>
      </c>
      <c r="T150" s="952">
        <f t="shared" si="76"/>
        <v>0</v>
      </c>
      <c r="U150" s="952">
        <f t="shared" si="76"/>
        <v>0</v>
      </c>
      <c r="V150" s="952">
        <f t="shared" si="76"/>
        <v>0</v>
      </c>
      <c r="W150" s="952">
        <f t="shared" si="76"/>
        <v>0</v>
      </c>
      <c r="X150" s="952">
        <f t="shared" si="76"/>
        <v>0</v>
      </c>
    </row>
    <row r="151" spans="1:33" x14ac:dyDescent="0.25">
      <c r="A151" s="1049"/>
      <c r="B151" s="1049"/>
      <c r="C151" s="1049"/>
      <c r="D151" s="1051"/>
      <c r="E151" s="1048"/>
      <c r="F151" s="1048"/>
      <c r="G151" s="1049"/>
      <c r="H151" s="1050"/>
      <c r="I151" s="1052"/>
      <c r="J151" s="952"/>
      <c r="K151" s="952"/>
      <c r="L151" s="952"/>
    </row>
    <row r="152" spans="1:33" x14ac:dyDescent="0.25">
      <c r="A152" s="1049"/>
      <c r="B152" s="1049"/>
      <c r="C152" s="1049"/>
      <c r="D152" s="1049"/>
      <c r="E152" s="1048"/>
      <c r="F152" s="1053"/>
      <c r="G152" s="1053"/>
      <c r="H152" s="1053"/>
      <c r="I152" s="1052"/>
      <c r="J152" s="952"/>
      <c r="K152" s="952"/>
      <c r="L152" s="952"/>
      <c r="M152" s="1028"/>
    </row>
    <row r="153" spans="1:33" x14ac:dyDescent="0.25">
      <c r="A153" s="1049"/>
      <c r="B153" s="1049"/>
      <c r="C153" s="1049"/>
      <c r="D153" s="1049"/>
      <c r="E153" s="1048"/>
      <c r="F153" s="1048"/>
      <c r="G153" s="1049"/>
      <c r="H153" s="1050"/>
      <c r="I153" s="1052"/>
      <c r="J153" s="952"/>
      <c r="K153" s="952"/>
      <c r="L153" s="952"/>
    </row>
    <row r="154" spans="1:33" x14ac:dyDescent="0.25">
      <c r="A154" s="1049"/>
      <c r="B154" s="1049"/>
      <c r="C154" s="1049"/>
      <c r="D154" s="1051"/>
      <c r="E154" s="1048"/>
      <c r="F154" s="1048"/>
      <c r="G154" s="1049"/>
      <c r="H154" s="1050"/>
      <c r="I154" s="1052"/>
      <c r="J154" s="952"/>
      <c r="K154" s="952"/>
      <c r="L154" s="952"/>
    </row>
    <row r="155" spans="1:33" x14ac:dyDescent="0.25">
      <c r="A155" s="1049"/>
      <c r="B155" s="1049"/>
      <c r="C155" s="1049"/>
      <c r="D155" s="1051"/>
      <c r="E155" s="1048"/>
      <c r="F155" s="1053"/>
      <c r="G155" s="1053"/>
      <c r="H155" s="1053"/>
      <c r="I155" s="1052"/>
      <c r="J155" s="952"/>
      <c r="K155" s="952"/>
      <c r="L155" s="952"/>
    </row>
    <row r="156" spans="1:33" x14ac:dyDescent="0.25">
      <c r="A156" s="1049"/>
      <c r="B156" s="1049"/>
      <c r="C156" s="1049"/>
      <c r="D156" s="1051"/>
      <c r="E156" s="1048"/>
      <c r="F156" s="1053"/>
      <c r="G156" s="1053"/>
      <c r="H156" s="1053"/>
      <c r="I156" s="1052"/>
      <c r="J156" s="952"/>
      <c r="K156" s="952"/>
      <c r="L156" s="952"/>
    </row>
    <row r="157" spans="1:33" x14ac:dyDescent="0.25">
      <c r="A157" s="1049"/>
      <c r="B157" s="1049"/>
      <c r="C157" s="1049"/>
      <c r="D157" s="1051"/>
      <c r="E157" s="1048"/>
      <c r="F157" s="1053"/>
      <c r="G157" s="1053"/>
      <c r="H157" s="1053"/>
      <c r="I157" s="1052"/>
      <c r="J157" s="952"/>
      <c r="K157" s="952"/>
      <c r="L157" s="952"/>
    </row>
    <row r="158" spans="1:33" x14ac:dyDescent="0.25">
      <c r="A158" s="1049"/>
      <c r="B158" s="1049"/>
      <c r="C158" s="1049"/>
      <c r="D158" s="1051"/>
      <c r="E158" s="1048"/>
      <c r="F158" s="1053"/>
      <c r="G158" s="1053"/>
      <c r="H158" s="1053"/>
      <c r="I158" s="1052"/>
      <c r="J158" s="952"/>
      <c r="K158" s="952"/>
      <c r="L158" s="952"/>
    </row>
    <row r="159" spans="1:33" x14ac:dyDescent="0.25">
      <c r="A159" s="1049"/>
      <c r="B159" s="1049"/>
      <c r="C159" s="1049"/>
      <c r="D159" s="1051"/>
      <c r="E159" s="1048"/>
      <c r="F159" s="1053"/>
      <c r="G159" s="1053"/>
      <c r="H159" s="1053"/>
      <c r="I159" s="1052"/>
      <c r="J159" s="952"/>
      <c r="K159" s="952"/>
      <c r="L159" s="952"/>
    </row>
    <row r="160" spans="1:33" x14ac:dyDescent="0.25">
      <c r="A160" s="1049"/>
      <c r="B160" s="1049"/>
      <c r="C160" s="1049"/>
      <c r="D160" s="1051"/>
      <c r="E160" s="1048"/>
      <c r="F160" s="1053"/>
      <c r="G160" s="1053"/>
      <c r="H160" s="1053"/>
      <c r="I160" s="1052"/>
      <c r="J160" s="952"/>
      <c r="K160" s="952"/>
      <c r="L160" s="952"/>
    </row>
    <row r="161" spans="1:12" x14ac:dyDescent="0.25">
      <c r="A161" s="1049"/>
      <c r="B161" s="1049"/>
      <c r="C161" s="1049"/>
      <c r="D161" s="1051"/>
      <c r="E161" s="1048"/>
      <c r="F161" s="1053"/>
      <c r="G161" s="1053"/>
      <c r="H161" s="1053"/>
      <c r="I161" s="1052"/>
      <c r="J161" s="952"/>
      <c r="K161" s="952"/>
      <c r="L161" s="952"/>
    </row>
    <row r="162" spans="1:12" x14ac:dyDescent="0.25">
      <c r="A162" s="1049"/>
      <c r="B162" s="1049"/>
      <c r="C162" s="1049"/>
      <c r="D162" s="1051"/>
      <c r="E162" s="1048"/>
      <c r="F162" s="1053"/>
      <c r="G162" s="1053"/>
      <c r="H162" s="1053"/>
      <c r="I162" s="1052"/>
      <c r="J162" s="952"/>
      <c r="K162" s="952"/>
      <c r="L162" s="952"/>
    </row>
    <row r="163" spans="1:12" x14ac:dyDescent="0.25">
      <c r="A163" s="1049"/>
      <c r="B163" s="1049"/>
      <c r="C163" s="1049"/>
      <c r="D163" s="1051"/>
      <c r="E163" s="1048"/>
      <c r="F163" s="1053"/>
      <c r="G163" s="1053"/>
      <c r="H163" s="1053"/>
      <c r="I163" s="1052"/>
      <c r="J163" s="952"/>
      <c r="K163" s="952"/>
      <c r="L163" s="952"/>
    </row>
    <row r="164" spans="1:12" x14ac:dyDescent="0.25">
      <c r="A164" s="1049"/>
      <c r="B164" s="1049"/>
      <c r="C164" s="1049"/>
      <c r="D164" s="1051"/>
      <c r="E164" s="1048"/>
      <c r="F164" s="1053"/>
      <c r="G164" s="1053"/>
      <c r="H164" s="1053"/>
      <c r="I164" s="1052"/>
      <c r="J164" s="952"/>
      <c r="K164" s="952"/>
      <c r="L164" s="952"/>
    </row>
    <row r="165" spans="1:12" x14ac:dyDescent="0.25">
      <c r="A165" s="1049"/>
      <c r="B165" s="1049"/>
      <c r="C165" s="1049"/>
      <c r="D165" s="1051"/>
      <c r="E165" s="1048"/>
      <c r="F165" s="1053"/>
      <c r="G165" s="1053"/>
      <c r="H165" s="1053"/>
      <c r="I165" s="1052"/>
      <c r="J165" s="952"/>
      <c r="K165" s="952"/>
      <c r="L165" s="952"/>
    </row>
    <row r="166" spans="1:12" x14ac:dyDescent="0.25">
      <c r="A166" s="1049"/>
      <c r="B166" s="1049"/>
      <c r="C166" s="1049"/>
      <c r="D166" s="1051"/>
      <c r="E166" s="1048"/>
      <c r="F166" s="1053"/>
      <c r="G166" s="1053"/>
      <c r="H166" s="1053"/>
      <c r="I166" s="1052"/>
      <c r="J166" s="952"/>
      <c r="K166" s="952"/>
      <c r="L166" s="952"/>
    </row>
    <row r="167" spans="1:12" x14ac:dyDescent="0.25">
      <c r="A167" s="1049"/>
      <c r="B167" s="1049"/>
      <c r="C167" s="1049"/>
      <c r="D167" s="1051"/>
      <c r="E167" s="1048"/>
      <c r="F167" s="1048"/>
      <c r="G167" s="1049"/>
      <c r="H167" s="1050"/>
      <c r="I167" s="1052"/>
      <c r="J167" s="952"/>
      <c r="K167" s="952"/>
      <c r="L167" s="952"/>
    </row>
    <row r="168" spans="1:12" x14ac:dyDescent="0.25">
      <c r="A168" s="1054"/>
      <c r="B168" s="1054"/>
      <c r="C168" s="1054"/>
      <c r="D168" s="1055"/>
      <c r="E168" s="1056"/>
      <c r="F168" s="1057"/>
      <c r="G168" s="1057"/>
      <c r="H168" s="1057"/>
      <c r="I168" s="813"/>
      <c r="J168" s="813"/>
      <c r="K168" s="813"/>
      <c r="L168" s="813"/>
    </row>
    <row r="169" spans="1:12" x14ac:dyDescent="0.25">
      <c r="A169" s="1054"/>
      <c r="B169" s="1054"/>
      <c r="C169" s="1054"/>
      <c r="D169" s="1055"/>
      <c r="E169" s="1056"/>
      <c r="F169" s="1056"/>
      <c r="G169" s="1054"/>
      <c r="H169" s="1058"/>
      <c r="I169" s="813"/>
      <c r="J169" s="813"/>
      <c r="K169" s="813"/>
      <c r="L169" s="813"/>
    </row>
    <row r="170" spans="1:12" x14ac:dyDescent="0.25">
      <c r="A170" s="1054"/>
      <c r="B170" s="1054"/>
      <c r="C170" s="1054"/>
      <c r="D170" s="1055"/>
      <c r="E170" s="1056"/>
      <c r="F170" s="1057">
        <f>F152-F168</f>
        <v>0</v>
      </c>
      <c r="G170" s="1057">
        <f t="shared" ref="G170" si="77">G152-G168</f>
        <v>0</v>
      </c>
      <c r="H170" s="1057"/>
      <c r="I170" s="813"/>
      <c r="J170" s="813"/>
      <c r="K170" s="813"/>
      <c r="L170" s="813"/>
    </row>
    <row r="171" spans="1:12" x14ac:dyDescent="0.25">
      <c r="A171" s="1054"/>
      <c r="B171" s="1054"/>
      <c r="C171" s="1054"/>
      <c r="D171" s="1055"/>
      <c r="E171" s="1056"/>
      <c r="F171" s="1057"/>
      <c r="G171" s="1057"/>
      <c r="H171" s="1057"/>
      <c r="I171" s="813"/>
      <c r="J171" s="813"/>
      <c r="K171" s="813"/>
      <c r="L171" s="813"/>
    </row>
    <row r="172" spans="1:12" x14ac:dyDescent="0.25">
      <c r="A172" s="1054"/>
      <c r="B172" s="1054"/>
      <c r="C172" s="1054"/>
      <c r="D172" s="1055"/>
      <c r="E172" s="1056"/>
      <c r="F172" s="1056"/>
      <c r="G172" s="1054"/>
      <c r="H172" s="1058"/>
      <c r="I172" s="813"/>
      <c r="J172" s="813"/>
      <c r="K172" s="813"/>
      <c r="L172" s="813"/>
    </row>
    <row r="173" spans="1:12" x14ac:dyDescent="0.25">
      <c r="A173" s="1054"/>
      <c r="B173" s="1054"/>
      <c r="C173" s="1054"/>
      <c r="D173" s="1055"/>
      <c r="E173" s="1056"/>
      <c r="F173" s="1056"/>
      <c r="G173" s="1054"/>
      <c r="H173" s="1058"/>
      <c r="I173" s="813"/>
      <c r="J173" s="813"/>
      <c r="K173" s="813"/>
      <c r="L173" s="813"/>
    </row>
    <row r="174" spans="1:12" x14ac:dyDescent="0.25">
      <c r="A174" s="1054"/>
      <c r="B174" s="1054"/>
      <c r="C174" s="1054"/>
      <c r="D174" s="1055"/>
      <c r="E174" s="1056"/>
      <c r="F174" s="1056"/>
      <c r="G174" s="1054"/>
      <c r="H174" s="1058"/>
      <c r="I174" s="813"/>
      <c r="J174" s="813"/>
      <c r="K174" s="813"/>
      <c r="L174" s="813"/>
    </row>
  </sheetData>
  <mergeCells count="276">
    <mergeCell ref="A140:H140"/>
    <mergeCell ref="U1:X1"/>
    <mergeCell ref="A2:X2"/>
    <mergeCell ref="O3:P3"/>
    <mergeCell ref="S3:T3"/>
    <mergeCell ref="W3:X3"/>
    <mergeCell ref="A4:A7"/>
    <mergeCell ref="B4:B7"/>
    <mergeCell ref="C4:C7"/>
    <mergeCell ref="D4:D7"/>
    <mergeCell ref="E4:E7"/>
    <mergeCell ref="U4:X4"/>
    <mergeCell ref="I5:I7"/>
    <mergeCell ref="J5:L5"/>
    <mergeCell ref="M5:M7"/>
    <mergeCell ref="N5:P5"/>
    <mergeCell ref="Q5:Q7"/>
    <mergeCell ref="R5:T5"/>
    <mergeCell ref="U5:U7"/>
    <mergeCell ref="V5:X5"/>
    <mergeCell ref="L6:L7"/>
    <mergeCell ref="I4:L4"/>
    <mergeCell ref="M4:P4"/>
    <mergeCell ref="Q4:T4"/>
    <mergeCell ref="P6:P7"/>
    <mergeCell ref="T6:T7"/>
    <mergeCell ref="X6:X7"/>
    <mergeCell ref="A8:X8"/>
    <mergeCell ref="A9:X9"/>
    <mergeCell ref="B10:X10"/>
    <mergeCell ref="C11:X11"/>
    <mergeCell ref="A12:A15"/>
    <mergeCell ref="B12:B15"/>
    <mergeCell ref="C12:C15"/>
    <mergeCell ref="D12:D15"/>
    <mergeCell ref="E12:E15"/>
    <mergeCell ref="F4:F7"/>
    <mergeCell ref="G4:G7"/>
    <mergeCell ref="H4:H7"/>
    <mergeCell ref="F12:F14"/>
    <mergeCell ref="G12:G14"/>
    <mergeCell ref="F15:H15"/>
    <mergeCell ref="A16:A18"/>
    <mergeCell ref="B16:B18"/>
    <mergeCell ref="C16:C18"/>
    <mergeCell ref="D16:D18"/>
    <mergeCell ref="E16:E18"/>
    <mergeCell ref="F16:F17"/>
    <mergeCell ref="G16:G17"/>
    <mergeCell ref="F18:H18"/>
    <mergeCell ref="A19:A22"/>
    <mergeCell ref="B19:B22"/>
    <mergeCell ref="C19:C22"/>
    <mergeCell ref="D19:D22"/>
    <mergeCell ref="E19:E22"/>
    <mergeCell ref="F19:F21"/>
    <mergeCell ref="G19:G21"/>
    <mergeCell ref="F22:H22"/>
    <mergeCell ref="G23:G25"/>
    <mergeCell ref="F26:H26"/>
    <mergeCell ref="A27:A30"/>
    <mergeCell ref="B27:B30"/>
    <mergeCell ref="C27:C30"/>
    <mergeCell ref="D27:D30"/>
    <mergeCell ref="E27:E30"/>
    <mergeCell ref="F27:F29"/>
    <mergeCell ref="G27:G29"/>
    <mergeCell ref="F30:H30"/>
    <mergeCell ref="A23:A26"/>
    <mergeCell ref="B23:B26"/>
    <mergeCell ref="C23:C26"/>
    <mergeCell ref="D23:D26"/>
    <mergeCell ref="E23:E26"/>
    <mergeCell ref="F23:F25"/>
    <mergeCell ref="G31:G33"/>
    <mergeCell ref="F34:H34"/>
    <mergeCell ref="A35:A38"/>
    <mergeCell ref="B35:B38"/>
    <mergeCell ref="C35:C38"/>
    <mergeCell ref="D35:D38"/>
    <mergeCell ref="E35:E38"/>
    <mergeCell ref="F35:F37"/>
    <mergeCell ref="G35:G37"/>
    <mergeCell ref="F38:H38"/>
    <mergeCell ref="A31:A34"/>
    <mergeCell ref="B31:B34"/>
    <mergeCell ref="C31:C34"/>
    <mergeCell ref="D31:D34"/>
    <mergeCell ref="E31:E34"/>
    <mergeCell ref="F31:F33"/>
    <mergeCell ref="G39:G42"/>
    <mergeCell ref="F43:H43"/>
    <mergeCell ref="A44:A45"/>
    <mergeCell ref="B44:B45"/>
    <mergeCell ref="C44:C45"/>
    <mergeCell ref="D44:D45"/>
    <mergeCell ref="E44:E45"/>
    <mergeCell ref="F45:H45"/>
    <mergeCell ref="A39:A43"/>
    <mergeCell ref="B39:B43"/>
    <mergeCell ref="C39:C43"/>
    <mergeCell ref="D39:D43"/>
    <mergeCell ref="E39:E43"/>
    <mergeCell ref="F39:F42"/>
    <mergeCell ref="C54:H54"/>
    <mergeCell ref="C55:X55"/>
    <mergeCell ref="A56:A57"/>
    <mergeCell ref="B56:B57"/>
    <mergeCell ref="C56:C57"/>
    <mergeCell ref="D56:D57"/>
    <mergeCell ref="E56:E57"/>
    <mergeCell ref="F57:H57"/>
    <mergeCell ref="B46:B53"/>
    <mergeCell ref="C46:C53"/>
    <mergeCell ref="D46:D53"/>
    <mergeCell ref="F46:F52"/>
    <mergeCell ref="G46:G52"/>
    <mergeCell ref="H46:H52"/>
    <mergeCell ref="E52:E53"/>
    <mergeCell ref="F53:H53"/>
    <mergeCell ref="A46:A53"/>
    <mergeCell ref="G58:G60"/>
    <mergeCell ref="F61:H61"/>
    <mergeCell ref="A62:A63"/>
    <mergeCell ref="B62:B63"/>
    <mergeCell ref="C62:C63"/>
    <mergeCell ref="D62:D63"/>
    <mergeCell ref="E62:E63"/>
    <mergeCell ref="F63:H63"/>
    <mergeCell ref="A58:A61"/>
    <mergeCell ref="B58:B61"/>
    <mergeCell ref="C58:C61"/>
    <mergeCell ref="D58:D61"/>
    <mergeCell ref="E58:E61"/>
    <mergeCell ref="F58:F60"/>
    <mergeCell ref="C64:H64"/>
    <mergeCell ref="B65:H65"/>
    <mergeCell ref="B66:X66"/>
    <mergeCell ref="C67:X67"/>
    <mergeCell ref="A68:A72"/>
    <mergeCell ref="B68:B72"/>
    <mergeCell ref="C68:C72"/>
    <mergeCell ref="D68:D72"/>
    <mergeCell ref="E68:E70"/>
    <mergeCell ref="F68:F70"/>
    <mergeCell ref="G68:G71"/>
    <mergeCell ref="F72:H72"/>
    <mergeCell ref="A73:A78"/>
    <mergeCell ref="B73:B78"/>
    <mergeCell ref="C73:C78"/>
    <mergeCell ref="D73:D78"/>
    <mergeCell ref="E73:E77"/>
    <mergeCell ref="F73:F77"/>
    <mergeCell ref="G73:G77"/>
    <mergeCell ref="F78:H78"/>
    <mergeCell ref="G79:G81"/>
    <mergeCell ref="F82:H82"/>
    <mergeCell ref="A83:A84"/>
    <mergeCell ref="B83:B84"/>
    <mergeCell ref="C83:C84"/>
    <mergeCell ref="D83:D84"/>
    <mergeCell ref="E83:E84"/>
    <mergeCell ref="F84:H84"/>
    <mergeCell ref="A79:A82"/>
    <mergeCell ref="B79:B82"/>
    <mergeCell ref="C79:C82"/>
    <mergeCell ref="D79:D82"/>
    <mergeCell ref="E79:E82"/>
    <mergeCell ref="F79:F81"/>
    <mergeCell ref="A91:A92"/>
    <mergeCell ref="B91:B92"/>
    <mergeCell ref="C91:C92"/>
    <mergeCell ref="D91:D92"/>
    <mergeCell ref="E91:E92"/>
    <mergeCell ref="F92:H92"/>
    <mergeCell ref="C85:H85"/>
    <mergeCell ref="B86:H86"/>
    <mergeCell ref="B87:X87"/>
    <mergeCell ref="C88:X88"/>
    <mergeCell ref="A89:A90"/>
    <mergeCell ref="B89:B90"/>
    <mergeCell ref="C89:C90"/>
    <mergeCell ref="D89:D90"/>
    <mergeCell ref="E89:E90"/>
    <mergeCell ref="F90:H90"/>
    <mergeCell ref="C93:H93"/>
    <mergeCell ref="C94:X94"/>
    <mergeCell ref="A95:A98"/>
    <mergeCell ref="B95:B98"/>
    <mergeCell ref="C95:C98"/>
    <mergeCell ref="D95:D98"/>
    <mergeCell ref="E95:E98"/>
    <mergeCell ref="F95:F97"/>
    <mergeCell ref="G95:G97"/>
    <mergeCell ref="F98:H98"/>
    <mergeCell ref="C99:H99"/>
    <mergeCell ref="B100:H100"/>
    <mergeCell ref="B101:X101"/>
    <mergeCell ref="C102:X102"/>
    <mergeCell ref="A103:A104"/>
    <mergeCell ref="B103:B104"/>
    <mergeCell ref="C103:C104"/>
    <mergeCell ref="D103:D104"/>
    <mergeCell ref="F104:H104"/>
    <mergeCell ref="A110:A111"/>
    <mergeCell ref="B110:B111"/>
    <mergeCell ref="C110:C111"/>
    <mergeCell ref="D110:D111"/>
    <mergeCell ref="E110:E111"/>
    <mergeCell ref="F111:H111"/>
    <mergeCell ref="A105:A109"/>
    <mergeCell ref="B105:B109"/>
    <mergeCell ref="C105:C109"/>
    <mergeCell ref="D105:D109"/>
    <mergeCell ref="F105:F108"/>
    <mergeCell ref="F109:H109"/>
    <mergeCell ref="G112:G115"/>
    <mergeCell ref="F116:H116"/>
    <mergeCell ref="A117:A118"/>
    <mergeCell ref="B117:B118"/>
    <mergeCell ref="C117:C118"/>
    <mergeCell ref="D117:D118"/>
    <mergeCell ref="E117:E118"/>
    <mergeCell ref="F118:H118"/>
    <mergeCell ref="A112:A116"/>
    <mergeCell ref="B112:B116"/>
    <mergeCell ref="C112:C116"/>
    <mergeCell ref="D112:D116"/>
    <mergeCell ref="E112:E116"/>
    <mergeCell ref="F112:F115"/>
    <mergeCell ref="A121:A122"/>
    <mergeCell ref="B121:B122"/>
    <mergeCell ref="C121:C122"/>
    <mergeCell ref="D121:D122"/>
    <mergeCell ref="E121:E122"/>
    <mergeCell ref="F122:H122"/>
    <mergeCell ref="A119:A120"/>
    <mergeCell ref="B119:B120"/>
    <mergeCell ref="C119:C120"/>
    <mergeCell ref="D119:D120"/>
    <mergeCell ref="E119:E120"/>
    <mergeCell ref="F120:H120"/>
    <mergeCell ref="C123:H123"/>
    <mergeCell ref="C124:X124"/>
    <mergeCell ref="A125:A129"/>
    <mergeCell ref="B125:B129"/>
    <mergeCell ref="C125:C129"/>
    <mergeCell ref="D125:D129"/>
    <mergeCell ref="F125:F128"/>
    <mergeCell ref="G125:G128"/>
    <mergeCell ref="E127:E128"/>
    <mergeCell ref="F129:H129"/>
    <mergeCell ref="A146:H146"/>
    <mergeCell ref="A147:H147"/>
    <mergeCell ref="A148:H148"/>
    <mergeCell ref="A149:H149"/>
    <mergeCell ref="A150:E150"/>
    <mergeCell ref="G105:G106"/>
    <mergeCell ref="A139:H139"/>
    <mergeCell ref="A141:H141"/>
    <mergeCell ref="A142:H142"/>
    <mergeCell ref="A143:H143"/>
    <mergeCell ref="A144:H144"/>
    <mergeCell ref="A145:H145"/>
    <mergeCell ref="C133:H133"/>
    <mergeCell ref="B134:H134"/>
    <mergeCell ref="A135:H135"/>
    <mergeCell ref="A136:H136"/>
    <mergeCell ref="A137:H137"/>
    <mergeCell ref="A138:H138"/>
    <mergeCell ref="A130:A132"/>
    <mergeCell ref="B130:B132"/>
    <mergeCell ref="C130:C132"/>
    <mergeCell ref="D130:D132"/>
    <mergeCell ref="F130:F131"/>
    <mergeCell ref="F132:H132"/>
  </mergeCells>
  <pageMargins left="0.23622047244094491" right="0.23622047244094491" top="0.74803149606299213" bottom="0.74803149606299213" header="0.31496062992125984" footer="0.31496062992125984"/>
  <pageSetup paperSize="9" scale="78" fitToHeight="17" orientation="landscape" cellComments="asDisplayed" r:id="rId1"/>
  <headerFooter>
    <oddHeader>&amp;C&amp;P&amp;R&amp;10 7 programa</oddHeader>
  </headerFooter>
  <rowBreaks count="4" manualBreakCount="4">
    <brk id="54" max="23" man="1"/>
    <brk id="72" max="23" man="1"/>
    <brk id="100" max="23" man="1"/>
    <brk id="123" max="2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Zeros="0" topLeftCell="A19" zoomScale="115" zoomScaleNormal="115" workbookViewId="0">
      <selection activeCell="K21" sqref="K21"/>
    </sheetView>
  </sheetViews>
  <sheetFormatPr defaultRowHeight="12.75" x14ac:dyDescent="0.2"/>
  <cols>
    <col min="1" max="1" width="3" customWidth="1"/>
    <col min="2" max="3" width="3.42578125" customWidth="1"/>
    <col min="4" max="4" width="19.5703125" customWidth="1"/>
    <col min="5" max="5" width="4.5703125" customWidth="1"/>
    <col min="6" max="6" width="9.42578125" customWidth="1"/>
    <col min="7" max="7" width="7.140625" customWidth="1"/>
    <col min="8" max="8" width="7.28515625" customWidth="1"/>
    <col min="9" max="9" width="6.85546875" customWidth="1"/>
    <col min="10" max="10" width="7.140625" customWidth="1"/>
    <col min="11" max="11" width="6" customWidth="1"/>
    <col min="12" max="12" width="6.42578125" customWidth="1"/>
    <col min="13" max="13" width="7.7109375" customWidth="1"/>
    <col min="14" max="15" width="6" customWidth="1"/>
    <col min="16" max="16" width="6.42578125" customWidth="1"/>
    <col min="17" max="17" width="7.5703125" customWidth="1"/>
    <col min="18" max="19" width="6" customWidth="1"/>
    <col min="20" max="21" width="7.5703125" customWidth="1"/>
    <col min="22" max="23" width="6" customWidth="1"/>
    <col min="24" max="24" width="7.5703125" customWidth="1"/>
  </cols>
  <sheetData>
    <row r="1" spans="1:24" ht="37.15" customHeight="1" x14ac:dyDescent="0.2">
      <c r="A1" s="7"/>
      <c r="B1" s="7"/>
      <c r="C1" s="7"/>
      <c r="D1" s="172"/>
      <c r="E1" s="1"/>
      <c r="F1" s="1"/>
      <c r="G1" s="1"/>
      <c r="H1" s="173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3751" t="s">
        <v>933</v>
      </c>
      <c r="V1" s="3751"/>
      <c r="W1" s="3751"/>
      <c r="X1" s="3751"/>
    </row>
    <row r="2" spans="1:24" ht="15.75" x14ac:dyDescent="0.25">
      <c r="A2" s="3752" t="s">
        <v>934</v>
      </c>
      <c r="B2" s="3752"/>
      <c r="C2" s="3752"/>
      <c r="D2" s="3752"/>
      <c r="E2" s="3752"/>
      <c r="F2" s="3752"/>
      <c r="G2" s="3752"/>
      <c r="H2" s="3752"/>
      <c r="I2" s="3752"/>
      <c r="J2" s="3752"/>
      <c r="K2" s="3752"/>
      <c r="L2" s="3752"/>
      <c r="M2" s="3752"/>
      <c r="N2" s="3752"/>
      <c r="O2" s="3752"/>
      <c r="P2" s="3752"/>
      <c r="Q2" s="3752"/>
      <c r="R2" s="3752"/>
      <c r="S2" s="3752"/>
      <c r="T2" s="3752"/>
      <c r="U2" s="3752"/>
      <c r="V2" s="3752"/>
      <c r="W2" s="3752"/>
      <c r="X2" s="3752"/>
    </row>
    <row r="3" spans="1:24" ht="13.5" thickBot="1" x14ac:dyDescent="0.25">
      <c r="A3" s="3753" t="s">
        <v>2</v>
      </c>
      <c r="B3" s="3753"/>
      <c r="C3" s="3753"/>
      <c r="D3" s="3753"/>
      <c r="E3" s="3753"/>
      <c r="F3" s="3753"/>
      <c r="G3" s="3753"/>
      <c r="H3" s="3753"/>
      <c r="I3" s="3753"/>
      <c r="J3" s="3753"/>
      <c r="K3" s="3753"/>
      <c r="L3" s="3753"/>
      <c r="M3" s="3753"/>
      <c r="N3" s="3753"/>
      <c r="O3" s="3753"/>
      <c r="P3" s="3753"/>
      <c r="Q3" s="3753"/>
      <c r="R3" s="3753"/>
      <c r="S3" s="3753"/>
      <c r="T3" s="3753"/>
      <c r="U3" s="3753"/>
      <c r="V3" s="3753"/>
      <c r="W3" s="3753"/>
      <c r="X3" s="3753"/>
    </row>
    <row r="4" spans="1:24" ht="13.5" thickBot="1" x14ac:dyDescent="0.25">
      <c r="A4" s="3746" t="s">
        <v>3</v>
      </c>
      <c r="B4" s="3746" t="s">
        <v>4</v>
      </c>
      <c r="C4" s="3746" t="s">
        <v>5</v>
      </c>
      <c r="D4" s="3754" t="s">
        <v>6</v>
      </c>
      <c r="E4" s="3746" t="s">
        <v>7</v>
      </c>
      <c r="F4" s="3746" t="s">
        <v>8</v>
      </c>
      <c r="G4" s="3755" t="s">
        <v>9</v>
      </c>
      <c r="H4" s="3746" t="s">
        <v>10</v>
      </c>
      <c r="I4" s="3747" t="s">
        <v>11</v>
      </c>
      <c r="J4" s="3747"/>
      <c r="K4" s="3747"/>
      <c r="L4" s="3747"/>
      <c r="M4" s="3747" t="s">
        <v>12</v>
      </c>
      <c r="N4" s="3747"/>
      <c r="O4" s="3747"/>
      <c r="P4" s="3747"/>
      <c r="Q4" s="3747" t="s">
        <v>13</v>
      </c>
      <c r="R4" s="3747"/>
      <c r="S4" s="3747"/>
      <c r="T4" s="3747"/>
      <c r="U4" s="3747" t="s">
        <v>14</v>
      </c>
      <c r="V4" s="3747"/>
      <c r="W4" s="3747"/>
      <c r="X4" s="3747"/>
    </row>
    <row r="5" spans="1:24" ht="13.5" thickBot="1" x14ac:dyDescent="0.25">
      <c r="A5" s="3746"/>
      <c r="B5" s="3746"/>
      <c r="C5" s="3746"/>
      <c r="D5" s="3754"/>
      <c r="E5" s="3746"/>
      <c r="F5" s="3746"/>
      <c r="G5" s="3755"/>
      <c r="H5" s="3746"/>
      <c r="I5" s="3748" t="s">
        <v>15</v>
      </c>
      <c r="J5" s="3756" t="s">
        <v>16</v>
      </c>
      <c r="K5" s="3756"/>
      <c r="L5" s="3756"/>
      <c r="M5" s="3748" t="s">
        <v>15</v>
      </c>
      <c r="N5" s="3756" t="s">
        <v>16</v>
      </c>
      <c r="O5" s="3756"/>
      <c r="P5" s="3756"/>
      <c r="Q5" s="3748" t="s">
        <v>15</v>
      </c>
      <c r="R5" s="3756" t="s">
        <v>16</v>
      </c>
      <c r="S5" s="3756"/>
      <c r="T5" s="3756"/>
      <c r="U5" s="3748" t="s">
        <v>15</v>
      </c>
      <c r="V5" s="3756" t="s">
        <v>16</v>
      </c>
      <c r="W5" s="3756"/>
      <c r="X5" s="3756"/>
    </row>
    <row r="6" spans="1:24" ht="13.5" thickBot="1" x14ac:dyDescent="0.25">
      <c r="A6" s="3746"/>
      <c r="B6" s="3746"/>
      <c r="C6" s="3746"/>
      <c r="D6" s="3754"/>
      <c r="E6" s="3746"/>
      <c r="F6" s="3746"/>
      <c r="G6" s="3755"/>
      <c r="H6" s="3746"/>
      <c r="I6" s="3748"/>
      <c r="J6" s="3757" t="s">
        <v>17</v>
      </c>
      <c r="K6" s="3757"/>
      <c r="L6" s="3739" t="s">
        <v>18</v>
      </c>
      <c r="M6" s="3748"/>
      <c r="N6" s="3757" t="s">
        <v>17</v>
      </c>
      <c r="O6" s="3757"/>
      <c r="P6" s="3739" t="s">
        <v>18</v>
      </c>
      <c r="Q6" s="3748"/>
      <c r="R6" s="3757" t="s">
        <v>17</v>
      </c>
      <c r="S6" s="3757"/>
      <c r="T6" s="3739" t="s">
        <v>18</v>
      </c>
      <c r="U6" s="3748"/>
      <c r="V6" s="3757" t="s">
        <v>17</v>
      </c>
      <c r="W6" s="3757"/>
      <c r="X6" s="3739" t="s">
        <v>18</v>
      </c>
    </row>
    <row r="7" spans="1:24" ht="50.25" thickBot="1" x14ac:dyDescent="0.25">
      <c r="A7" s="3746"/>
      <c r="B7" s="3746"/>
      <c r="C7" s="3746"/>
      <c r="D7" s="3754"/>
      <c r="E7" s="3746"/>
      <c r="F7" s="3746"/>
      <c r="G7" s="3755"/>
      <c r="H7" s="3746"/>
      <c r="I7" s="3748"/>
      <c r="J7" s="3" t="s">
        <v>15</v>
      </c>
      <c r="K7" s="4" t="s">
        <v>19</v>
      </c>
      <c r="L7" s="3739"/>
      <c r="M7" s="3748"/>
      <c r="N7" s="3" t="s">
        <v>15</v>
      </c>
      <c r="O7" s="4" t="s">
        <v>19</v>
      </c>
      <c r="P7" s="3739"/>
      <c r="Q7" s="3748"/>
      <c r="R7" s="3" t="s">
        <v>15</v>
      </c>
      <c r="S7" s="4" t="s">
        <v>19</v>
      </c>
      <c r="T7" s="3739"/>
      <c r="U7" s="3748"/>
      <c r="V7" s="3" t="s">
        <v>15</v>
      </c>
      <c r="W7" s="4" t="s">
        <v>19</v>
      </c>
      <c r="X7" s="3739"/>
    </row>
    <row r="8" spans="1:24" ht="13.5" thickBot="1" x14ac:dyDescent="0.25">
      <c r="A8" s="3740" t="s">
        <v>935</v>
      </c>
      <c r="B8" s="3740"/>
      <c r="C8" s="3740"/>
      <c r="D8" s="3740"/>
      <c r="E8" s="3740"/>
      <c r="F8" s="3740"/>
      <c r="G8" s="3740"/>
      <c r="H8" s="3740"/>
      <c r="I8" s="3740"/>
      <c r="J8" s="3740"/>
      <c r="K8" s="3740"/>
      <c r="L8" s="3740"/>
      <c r="M8" s="3740"/>
      <c r="N8" s="3740"/>
      <c r="O8" s="3740"/>
      <c r="P8" s="3740"/>
      <c r="Q8" s="3740"/>
      <c r="R8" s="3740"/>
      <c r="S8" s="3740"/>
      <c r="T8" s="3740"/>
      <c r="U8" s="3740"/>
      <c r="V8" s="3740"/>
      <c r="W8" s="3740"/>
      <c r="X8" s="3740"/>
    </row>
    <row r="9" spans="1:24" ht="13.5" thickBot="1" x14ac:dyDescent="0.25">
      <c r="A9" s="3741" t="s">
        <v>936</v>
      </c>
      <c r="B9" s="3741"/>
      <c r="C9" s="3741"/>
      <c r="D9" s="3741"/>
      <c r="E9" s="3741"/>
      <c r="F9" s="3741"/>
      <c r="G9" s="3741"/>
      <c r="H9" s="3741"/>
      <c r="I9" s="3741"/>
      <c r="J9" s="3741"/>
      <c r="K9" s="3741"/>
      <c r="L9" s="3741"/>
      <c r="M9" s="3741"/>
      <c r="N9" s="3741"/>
      <c r="O9" s="3741"/>
      <c r="P9" s="3741"/>
      <c r="Q9" s="3741"/>
      <c r="R9" s="3741"/>
      <c r="S9" s="3741"/>
      <c r="T9" s="3741"/>
      <c r="U9" s="3741"/>
      <c r="V9" s="3741"/>
      <c r="W9" s="3741"/>
      <c r="X9" s="3741"/>
    </row>
    <row r="10" spans="1:24" ht="13.5" thickBot="1" x14ac:dyDescent="0.25">
      <c r="A10" s="175">
        <v>1</v>
      </c>
      <c r="B10" s="3742" t="s">
        <v>937</v>
      </c>
      <c r="C10" s="3742"/>
      <c r="D10" s="3742"/>
      <c r="E10" s="3742"/>
      <c r="F10" s="3742"/>
      <c r="G10" s="3742"/>
      <c r="H10" s="3742"/>
      <c r="I10" s="3742"/>
      <c r="J10" s="3742"/>
      <c r="K10" s="3742"/>
      <c r="L10" s="3742"/>
      <c r="M10" s="3742"/>
      <c r="N10" s="3742"/>
      <c r="O10" s="3742"/>
      <c r="P10" s="3742"/>
      <c r="Q10" s="3742"/>
      <c r="R10" s="3742"/>
      <c r="S10" s="3742"/>
      <c r="T10" s="3742"/>
      <c r="U10" s="3742"/>
      <c r="V10" s="3742"/>
      <c r="W10" s="3742"/>
      <c r="X10" s="3742"/>
    </row>
    <row r="11" spans="1:24" ht="13.5" thickBot="1" x14ac:dyDescent="0.25">
      <c r="A11" s="176">
        <v>1</v>
      </c>
      <c r="B11" s="177">
        <v>1</v>
      </c>
      <c r="C11" s="3743" t="s">
        <v>938</v>
      </c>
      <c r="D11" s="3743"/>
      <c r="E11" s="3743"/>
      <c r="F11" s="3743"/>
      <c r="G11" s="3743"/>
      <c r="H11" s="3743"/>
      <c r="I11" s="3743"/>
      <c r="J11" s="3743"/>
      <c r="K11" s="3743"/>
      <c r="L11" s="3743"/>
      <c r="M11" s="3743"/>
      <c r="N11" s="3743"/>
      <c r="O11" s="3743"/>
      <c r="P11" s="3743"/>
      <c r="Q11" s="3743"/>
      <c r="R11" s="3743"/>
      <c r="S11" s="3743"/>
      <c r="T11" s="3743"/>
      <c r="U11" s="3743"/>
      <c r="V11" s="3743"/>
      <c r="W11" s="3743"/>
      <c r="X11" s="3743"/>
    </row>
    <row r="12" spans="1:24" ht="13.5" thickBot="1" x14ac:dyDescent="0.25">
      <c r="A12" s="3689">
        <v>1</v>
      </c>
      <c r="B12" s="3730">
        <v>1</v>
      </c>
      <c r="C12" s="3698">
        <v>1</v>
      </c>
      <c r="D12" s="3744" t="s">
        <v>939</v>
      </c>
      <c r="E12" s="3745" t="s">
        <v>940</v>
      </c>
      <c r="F12" s="3749" t="s">
        <v>941</v>
      </c>
      <c r="G12" s="3698" t="s">
        <v>942</v>
      </c>
      <c r="H12" s="101" t="s">
        <v>30</v>
      </c>
      <c r="I12" s="95">
        <v>692.7</v>
      </c>
      <c r="J12" s="53">
        <v>692.7</v>
      </c>
      <c r="K12" s="53">
        <v>525.1</v>
      </c>
      <c r="L12" s="54">
        <v>12</v>
      </c>
      <c r="M12" s="93">
        <v>782.4</v>
      </c>
      <c r="N12" s="53">
        <v>782.4</v>
      </c>
      <c r="O12" s="53">
        <v>593</v>
      </c>
      <c r="P12" s="54"/>
      <c r="Q12" s="93">
        <v>782.4</v>
      </c>
      <c r="R12" s="53">
        <v>782.4</v>
      </c>
      <c r="S12" s="53">
        <v>593</v>
      </c>
      <c r="T12" s="54"/>
      <c r="U12" s="93">
        <v>782.4</v>
      </c>
      <c r="V12" s="53">
        <v>782.4</v>
      </c>
      <c r="W12" s="53">
        <v>593</v>
      </c>
      <c r="X12" s="54"/>
    </row>
    <row r="13" spans="1:24" ht="13.5" thickBot="1" x14ac:dyDescent="0.25">
      <c r="A13" s="3689"/>
      <c r="B13" s="3730"/>
      <c r="C13" s="3698"/>
      <c r="D13" s="3744"/>
      <c r="E13" s="3745"/>
      <c r="F13" s="3749"/>
      <c r="G13" s="3698"/>
      <c r="H13" s="208" t="s">
        <v>33</v>
      </c>
      <c r="I13" s="93"/>
      <c r="J13" s="55"/>
      <c r="K13" s="55"/>
      <c r="L13" s="96"/>
      <c r="M13" s="93">
        <v>4</v>
      </c>
      <c r="N13" s="55">
        <v>4</v>
      </c>
      <c r="O13" s="55">
        <v>4</v>
      </c>
      <c r="P13" s="96"/>
      <c r="Q13" s="93">
        <v>4</v>
      </c>
      <c r="R13" s="55">
        <v>4</v>
      </c>
      <c r="S13" s="55">
        <v>4</v>
      </c>
      <c r="T13" s="96"/>
      <c r="U13" s="93">
        <v>4</v>
      </c>
      <c r="V13" s="55">
        <v>4</v>
      </c>
      <c r="W13" s="55">
        <v>4</v>
      </c>
      <c r="X13" s="96"/>
    </row>
    <row r="14" spans="1:24" ht="13.5" thickBot="1" x14ac:dyDescent="0.25">
      <c r="A14" s="3689"/>
      <c r="B14" s="3730"/>
      <c r="C14" s="3698"/>
      <c r="D14" s="3744"/>
      <c r="E14" s="3745"/>
      <c r="F14" s="3749"/>
      <c r="G14" s="3698"/>
      <c r="H14" s="178" t="s">
        <v>34</v>
      </c>
      <c r="I14" s="93">
        <v>50</v>
      </c>
      <c r="J14" s="55">
        <v>50</v>
      </c>
      <c r="K14" s="55">
        <v>18.3</v>
      </c>
      <c r="L14" s="96"/>
      <c r="M14" s="93">
        <v>60</v>
      </c>
      <c r="N14" s="55">
        <v>60</v>
      </c>
      <c r="O14" s="55">
        <v>22</v>
      </c>
      <c r="P14" s="96"/>
      <c r="Q14" s="93">
        <v>60</v>
      </c>
      <c r="R14" s="55">
        <v>60</v>
      </c>
      <c r="S14" s="55">
        <v>22</v>
      </c>
      <c r="T14" s="96"/>
      <c r="U14" s="93">
        <v>60</v>
      </c>
      <c r="V14" s="55">
        <v>60</v>
      </c>
      <c r="W14" s="55">
        <v>22</v>
      </c>
      <c r="X14" s="96"/>
    </row>
    <row r="15" spans="1:24" ht="13.5" thickBot="1" x14ac:dyDescent="0.25">
      <c r="A15" s="3689"/>
      <c r="B15" s="3730"/>
      <c r="C15" s="3698"/>
      <c r="D15" s="3744"/>
      <c r="E15" s="3745"/>
      <c r="F15" s="3750" t="s">
        <v>35</v>
      </c>
      <c r="G15" s="3750"/>
      <c r="H15" s="3750"/>
      <c r="I15" s="179">
        <f>SUM(L15,J15)</f>
        <v>754.7</v>
      </c>
      <c r="J15" s="180">
        <f>SUM(J12:J14)</f>
        <v>742.7</v>
      </c>
      <c r="K15" s="180">
        <f>SUM(K12:K14)</f>
        <v>543.4</v>
      </c>
      <c r="L15" s="181">
        <f>SUM(L12:L14)</f>
        <v>12</v>
      </c>
      <c r="M15" s="179">
        <f>SUM(P15,N15)</f>
        <v>846.4</v>
      </c>
      <c r="N15" s="180">
        <f>SUM(N12:N14)</f>
        <v>846.4</v>
      </c>
      <c r="O15" s="180">
        <f>SUM(O12:O14)</f>
        <v>619</v>
      </c>
      <c r="P15" s="181">
        <f>SUM(P12:P14)</f>
        <v>0</v>
      </c>
      <c r="Q15" s="179">
        <f>SUM(T15,R15)</f>
        <v>846.4</v>
      </c>
      <c r="R15" s="180">
        <f>SUM(R12:R14)</f>
        <v>846.4</v>
      </c>
      <c r="S15" s="180">
        <f>SUM(S12:S14)</f>
        <v>619</v>
      </c>
      <c r="T15" s="181">
        <f>SUM(T12:T14)</f>
        <v>0</v>
      </c>
      <c r="U15" s="179">
        <f>SUM(X15,V15)</f>
        <v>846.4</v>
      </c>
      <c r="V15" s="180">
        <f>SUM(V12:V14)</f>
        <v>846.4</v>
      </c>
      <c r="W15" s="180">
        <f>SUM(W12:W14)</f>
        <v>619</v>
      </c>
      <c r="X15" s="181">
        <f>SUM(X12:X14)</f>
        <v>0</v>
      </c>
    </row>
    <row r="16" spans="1:24" ht="13.5" thickBot="1" x14ac:dyDescent="0.25">
      <c r="A16" s="182">
        <v>1</v>
      </c>
      <c r="B16" s="183">
        <v>1</v>
      </c>
      <c r="C16" s="3726" t="s">
        <v>234</v>
      </c>
      <c r="D16" s="3726"/>
      <c r="E16" s="3726"/>
      <c r="F16" s="3726"/>
      <c r="G16" s="3726"/>
      <c r="H16" s="3726"/>
      <c r="I16" s="184">
        <f>SUM(L15,J15)</f>
        <v>754.7</v>
      </c>
      <c r="J16" s="185">
        <f>SUM(J15)</f>
        <v>742.7</v>
      </c>
      <c r="K16" s="185">
        <f>SUM(K15)</f>
        <v>543.4</v>
      </c>
      <c r="L16" s="186">
        <f>SUM(L15)</f>
        <v>12</v>
      </c>
      <c r="M16" s="184">
        <f>SUM(P15,N15)</f>
        <v>846.4</v>
      </c>
      <c r="N16" s="185">
        <f>SUM(N15)</f>
        <v>846.4</v>
      </c>
      <c r="O16" s="185">
        <f>SUM(O15)</f>
        <v>619</v>
      </c>
      <c r="P16" s="186">
        <f>SUM(P15)</f>
        <v>0</v>
      </c>
      <c r="Q16" s="184">
        <f>SUM(T15,R15)</f>
        <v>846.4</v>
      </c>
      <c r="R16" s="185">
        <f>SUM(R15)</f>
        <v>846.4</v>
      </c>
      <c r="S16" s="185">
        <f>SUM(S15)</f>
        <v>619</v>
      </c>
      <c r="T16" s="186">
        <f>SUM(T15)</f>
        <v>0</v>
      </c>
      <c r="U16" s="184">
        <f>SUM(X15,V15)</f>
        <v>846.4</v>
      </c>
      <c r="V16" s="185">
        <f>SUM(V15)</f>
        <v>846.4</v>
      </c>
      <c r="W16" s="185">
        <f>SUM(W15)</f>
        <v>619</v>
      </c>
      <c r="X16" s="186">
        <f>SUM(X15)</f>
        <v>0</v>
      </c>
    </row>
    <row r="17" spans="1:24" ht="13.5" thickBot="1" x14ac:dyDescent="0.25">
      <c r="A17" s="182">
        <v>1</v>
      </c>
      <c r="B17" s="187">
        <v>2</v>
      </c>
      <c r="C17" s="3729" t="s">
        <v>943</v>
      </c>
      <c r="D17" s="3729"/>
      <c r="E17" s="3729"/>
      <c r="F17" s="3729"/>
      <c r="G17" s="3729"/>
      <c r="H17" s="3729"/>
      <c r="I17" s="3729"/>
      <c r="J17" s="3729"/>
      <c r="K17" s="3729"/>
      <c r="L17" s="3729"/>
      <c r="M17" s="3729"/>
      <c r="N17" s="3729"/>
      <c r="O17" s="3729"/>
      <c r="P17" s="3729"/>
      <c r="Q17" s="3729"/>
      <c r="R17" s="3729"/>
      <c r="S17" s="3729"/>
      <c r="T17" s="3729"/>
      <c r="U17" s="3729"/>
      <c r="V17" s="3729"/>
      <c r="W17" s="3729"/>
      <c r="X17" s="3729"/>
    </row>
    <row r="18" spans="1:24" ht="29.25" customHeight="1" thickBot="1" x14ac:dyDescent="0.25">
      <c r="A18" s="3721">
        <v>1</v>
      </c>
      <c r="B18" s="3690">
        <v>2</v>
      </c>
      <c r="C18" s="3691">
        <v>1</v>
      </c>
      <c r="D18" s="3692" t="s">
        <v>944</v>
      </c>
      <c r="E18" s="3734" t="s">
        <v>104</v>
      </c>
      <c r="F18" s="3735" t="s">
        <v>945</v>
      </c>
      <c r="G18" s="3737" t="s">
        <v>946</v>
      </c>
      <c r="H18" s="100" t="s">
        <v>30</v>
      </c>
      <c r="I18" s="94">
        <v>390</v>
      </c>
      <c r="J18" s="53">
        <v>389.9</v>
      </c>
      <c r="K18" s="53"/>
      <c r="L18" s="54"/>
      <c r="M18" s="94">
        <v>420</v>
      </c>
      <c r="N18" s="53">
        <v>420</v>
      </c>
      <c r="O18" s="53"/>
      <c r="P18" s="54"/>
      <c r="Q18" s="94">
        <v>420</v>
      </c>
      <c r="R18" s="53">
        <v>420</v>
      </c>
      <c r="S18" s="53"/>
      <c r="T18" s="54"/>
      <c r="U18" s="94">
        <v>420</v>
      </c>
      <c r="V18" s="53">
        <v>420</v>
      </c>
      <c r="W18" s="53"/>
      <c r="X18" s="54"/>
    </row>
    <row r="19" spans="1:24" ht="29.25" customHeight="1" thickBot="1" x14ac:dyDescent="0.25">
      <c r="A19" s="3721"/>
      <c r="B19" s="3690"/>
      <c r="C19" s="3691"/>
      <c r="D19" s="3692"/>
      <c r="E19" s="3734"/>
      <c r="F19" s="3736"/>
      <c r="G19" s="3736"/>
      <c r="H19" s="43" t="s">
        <v>202</v>
      </c>
      <c r="I19" s="25">
        <v>355</v>
      </c>
      <c r="J19" s="26">
        <v>355</v>
      </c>
      <c r="K19" s="26"/>
      <c r="L19" s="27">
        <v>0</v>
      </c>
      <c r="M19" s="25">
        <v>385</v>
      </c>
      <c r="N19" s="26">
        <v>385</v>
      </c>
      <c r="O19" s="26"/>
      <c r="P19" s="27">
        <v>0</v>
      </c>
      <c r="Q19" s="25">
        <v>385</v>
      </c>
      <c r="R19" s="26">
        <v>385</v>
      </c>
      <c r="S19" s="26"/>
      <c r="T19" s="27">
        <v>0</v>
      </c>
      <c r="U19" s="25">
        <v>385</v>
      </c>
      <c r="V19" s="26">
        <v>385</v>
      </c>
      <c r="W19" s="26"/>
      <c r="X19" s="27">
        <v>0</v>
      </c>
    </row>
    <row r="20" spans="1:24" ht="29.25" customHeight="1" thickBot="1" x14ac:dyDescent="0.25">
      <c r="A20" s="3721"/>
      <c r="B20" s="3690"/>
      <c r="C20" s="3691"/>
      <c r="D20" s="3692"/>
      <c r="E20" s="3734"/>
      <c r="F20" s="3709" t="s">
        <v>35</v>
      </c>
      <c r="G20" s="3709"/>
      <c r="H20" s="3709"/>
      <c r="I20" s="188">
        <f>J20+L20</f>
        <v>744.9</v>
      </c>
      <c r="J20" s="189">
        <f>J18+J19</f>
        <v>744.9</v>
      </c>
      <c r="K20" s="188">
        <f>K18+K19</f>
        <v>0</v>
      </c>
      <c r="L20" s="190">
        <f>L18</f>
        <v>0</v>
      </c>
      <c r="M20" s="188">
        <f>N20+P20</f>
        <v>805</v>
      </c>
      <c r="N20" s="189">
        <f>N18+N19</f>
        <v>805</v>
      </c>
      <c r="O20" s="188">
        <f>O18+O19</f>
        <v>0</v>
      </c>
      <c r="P20" s="190">
        <f>P18</f>
        <v>0</v>
      </c>
      <c r="Q20" s="188">
        <f>R20+T20</f>
        <v>805</v>
      </c>
      <c r="R20" s="189">
        <f>R18+R19</f>
        <v>805</v>
      </c>
      <c r="S20" s="188">
        <f>S18+S19</f>
        <v>0</v>
      </c>
      <c r="T20" s="190">
        <f>T18</f>
        <v>0</v>
      </c>
      <c r="U20" s="188">
        <f>V20+X20</f>
        <v>805</v>
      </c>
      <c r="V20" s="189">
        <f>V18+V19</f>
        <v>805</v>
      </c>
      <c r="W20" s="188">
        <f>W18+W19</f>
        <v>0</v>
      </c>
      <c r="X20" s="190">
        <f>X18</f>
        <v>0</v>
      </c>
    </row>
    <row r="21" spans="1:24" x14ac:dyDescent="0.2">
      <c r="A21" s="3689">
        <v>1</v>
      </c>
      <c r="B21" s="3690">
        <v>2</v>
      </c>
      <c r="C21" s="3691">
        <v>2</v>
      </c>
      <c r="D21" s="3692" t="s">
        <v>947</v>
      </c>
      <c r="E21" s="3734" t="s">
        <v>948</v>
      </c>
      <c r="F21" s="3738" t="s">
        <v>141</v>
      </c>
      <c r="G21" s="3691" t="s">
        <v>949</v>
      </c>
      <c r="H21" s="191" t="s">
        <v>30</v>
      </c>
      <c r="I21" s="38">
        <v>243.5</v>
      </c>
      <c r="J21" s="16">
        <v>243.5</v>
      </c>
      <c r="K21" s="16">
        <v>185</v>
      </c>
      <c r="L21" s="13">
        <v>0</v>
      </c>
      <c r="M21" s="38">
        <v>312</v>
      </c>
      <c r="N21" s="16">
        <v>312</v>
      </c>
      <c r="O21" s="16">
        <v>229</v>
      </c>
      <c r="P21" s="13">
        <v>0</v>
      </c>
      <c r="Q21" s="38">
        <v>323</v>
      </c>
      <c r="R21" s="16">
        <v>323</v>
      </c>
      <c r="S21" s="16">
        <v>240</v>
      </c>
      <c r="T21" s="13">
        <v>0</v>
      </c>
      <c r="U21" s="38">
        <v>335</v>
      </c>
      <c r="V21" s="16">
        <v>335</v>
      </c>
      <c r="W21" s="16">
        <v>252</v>
      </c>
      <c r="X21" s="13">
        <v>0</v>
      </c>
    </row>
    <row r="22" spans="1:24" ht="13.5" thickBot="1" x14ac:dyDescent="0.25">
      <c r="A22" s="3689"/>
      <c r="B22" s="3690"/>
      <c r="C22" s="3691"/>
      <c r="D22" s="3692"/>
      <c r="E22" s="3734"/>
      <c r="F22" s="3738"/>
      <c r="G22" s="3691"/>
      <c r="H22" s="45" t="s">
        <v>202</v>
      </c>
      <c r="I22" s="15">
        <v>17</v>
      </c>
      <c r="J22" s="2057">
        <v>17</v>
      </c>
      <c r="K22" s="2057">
        <v>8.5</v>
      </c>
      <c r="L22" s="42">
        <v>0</v>
      </c>
      <c r="M22" s="15">
        <v>17</v>
      </c>
      <c r="N22" s="41">
        <v>17</v>
      </c>
      <c r="O22" s="41">
        <v>8.5</v>
      </c>
      <c r="P22" s="42">
        <v>0</v>
      </c>
      <c r="Q22" s="15">
        <v>17</v>
      </c>
      <c r="R22" s="41">
        <v>17</v>
      </c>
      <c r="S22" s="41">
        <v>8.5</v>
      </c>
      <c r="T22" s="42">
        <v>0</v>
      </c>
      <c r="U22" s="15">
        <v>17</v>
      </c>
      <c r="V22" s="41">
        <v>17</v>
      </c>
      <c r="W22" s="41">
        <v>8.5</v>
      </c>
      <c r="X22" s="42">
        <v>0</v>
      </c>
    </row>
    <row r="23" spans="1:24" ht="13.5" thickBot="1" x14ac:dyDescent="0.25">
      <c r="A23" s="3689"/>
      <c r="B23" s="3690"/>
      <c r="C23" s="3691"/>
      <c r="D23" s="3692"/>
      <c r="E23" s="3734"/>
      <c r="F23" s="3695" t="s">
        <v>35</v>
      </c>
      <c r="G23" s="3695"/>
      <c r="H23" s="3695"/>
      <c r="I23" s="192">
        <f>SUM(I21:I22)</f>
        <v>260.5</v>
      </c>
      <c r="J23" s="193">
        <f>SUM(J21:J22)</f>
        <v>260.5</v>
      </c>
      <c r="K23" s="193">
        <f>SUM(K21:K22)</f>
        <v>193.5</v>
      </c>
      <c r="L23" s="194">
        <v>0</v>
      </c>
      <c r="M23" s="192">
        <f>SUM(M21:M22)</f>
        <v>329</v>
      </c>
      <c r="N23" s="193">
        <f>SUM(N21:N22)</f>
        <v>329</v>
      </c>
      <c r="O23" s="193">
        <f>SUM(O21:O22)</f>
        <v>237.5</v>
      </c>
      <c r="P23" s="194">
        <v>0</v>
      </c>
      <c r="Q23" s="192">
        <f>SUM(Q21:Q22)</f>
        <v>340</v>
      </c>
      <c r="R23" s="193">
        <f>SUM(R21:R22)</f>
        <v>340</v>
      </c>
      <c r="S23" s="193">
        <f>SUM(S21:S22)</f>
        <v>248.5</v>
      </c>
      <c r="T23" s="194">
        <v>0</v>
      </c>
      <c r="U23" s="192">
        <f>SUM(U21:U22)</f>
        <v>352</v>
      </c>
      <c r="V23" s="193">
        <f>SUM(V21:V22)</f>
        <v>352</v>
      </c>
      <c r="W23" s="193">
        <f>SUM(W21:W22)</f>
        <v>260.5</v>
      </c>
      <c r="X23" s="194">
        <v>0</v>
      </c>
    </row>
    <row r="24" spans="1:24" ht="19.5" customHeight="1" x14ac:dyDescent="0.2">
      <c r="A24" s="3689">
        <v>1</v>
      </c>
      <c r="B24" s="3690">
        <v>2</v>
      </c>
      <c r="C24" s="3691">
        <v>3</v>
      </c>
      <c r="D24" s="3692" t="s">
        <v>950</v>
      </c>
      <c r="E24" s="3693" t="s">
        <v>951</v>
      </c>
      <c r="F24" s="3698" t="s">
        <v>141</v>
      </c>
      <c r="G24" s="3698" t="s">
        <v>952</v>
      </c>
      <c r="H24" s="8" t="s">
        <v>30</v>
      </c>
      <c r="I24" s="12">
        <v>16.2</v>
      </c>
      <c r="J24" s="39">
        <v>16.2</v>
      </c>
      <c r="K24" s="44">
        <v>10.8</v>
      </c>
      <c r="L24" s="195"/>
      <c r="M24" s="12">
        <v>17</v>
      </c>
      <c r="N24" s="39">
        <v>17</v>
      </c>
      <c r="O24" s="44">
        <v>12.7</v>
      </c>
      <c r="P24" s="195"/>
      <c r="Q24" s="12">
        <v>17</v>
      </c>
      <c r="R24" s="39">
        <v>17</v>
      </c>
      <c r="S24" s="44">
        <v>12.7</v>
      </c>
      <c r="T24" s="195"/>
      <c r="U24" s="12">
        <v>17</v>
      </c>
      <c r="V24" s="39">
        <v>17</v>
      </c>
      <c r="W24" s="44">
        <v>12.7</v>
      </c>
      <c r="X24" s="195"/>
    </row>
    <row r="25" spans="1:24" ht="19.5" customHeight="1" thickBot="1" x14ac:dyDescent="0.25">
      <c r="A25" s="3689"/>
      <c r="B25" s="3690"/>
      <c r="C25" s="3691"/>
      <c r="D25" s="3692"/>
      <c r="E25" s="3693"/>
      <c r="F25" s="3699"/>
      <c r="G25" s="3699"/>
      <c r="H25" s="28" t="s">
        <v>202</v>
      </c>
      <c r="I25" s="12">
        <f>J25+L25</f>
        <v>115</v>
      </c>
      <c r="J25" s="16">
        <v>115</v>
      </c>
      <c r="K25" s="16">
        <v>66</v>
      </c>
      <c r="L25" s="13"/>
      <c r="M25" s="12">
        <f>N25+P25</f>
        <v>115</v>
      </c>
      <c r="N25" s="16">
        <v>115</v>
      </c>
      <c r="O25" s="16">
        <v>66</v>
      </c>
      <c r="P25" s="13"/>
      <c r="Q25" s="12">
        <f>R25+T25</f>
        <v>115</v>
      </c>
      <c r="R25" s="16">
        <v>115</v>
      </c>
      <c r="S25" s="16">
        <v>66</v>
      </c>
      <c r="T25" s="13"/>
      <c r="U25" s="12">
        <f>V25+X25</f>
        <v>115</v>
      </c>
      <c r="V25" s="16">
        <v>115</v>
      </c>
      <c r="W25" s="16">
        <v>66</v>
      </c>
      <c r="X25" s="13"/>
    </row>
    <row r="26" spans="1:24" ht="19.5" customHeight="1" thickBot="1" x14ac:dyDescent="0.25">
      <c r="A26" s="3689"/>
      <c r="B26" s="3690"/>
      <c r="C26" s="3691"/>
      <c r="D26" s="3692"/>
      <c r="E26" s="3693"/>
      <c r="F26" s="3694" t="s">
        <v>35</v>
      </c>
      <c r="G26" s="3694"/>
      <c r="H26" s="3695"/>
      <c r="I26" s="192">
        <f>J26+L26</f>
        <v>131.19999999999999</v>
      </c>
      <c r="J26" s="193">
        <f>J24+J25</f>
        <v>131.19999999999999</v>
      </c>
      <c r="K26" s="193">
        <f>K24+K25</f>
        <v>76.8</v>
      </c>
      <c r="L26" s="194">
        <v>0</v>
      </c>
      <c r="M26" s="192">
        <f>N26+P26</f>
        <v>132</v>
      </c>
      <c r="N26" s="193">
        <f>N24+N25</f>
        <v>132</v>
      </c>
      <c r="O26" s="193">
        <f>O24+O25</f>
        <v>78.7</v>
      </c>
      <c r="P26" s="194">
        <v>0</v>
      </c>
      <c r="Q26" s="192">
        <f>R26+T26</f>
        <v>132</v>
      </c>
      <c r="R26" s="193">
        <f>R24+R25</f>
        <v>132</v>
      </c>
      <c r="S26" s="193">
        <f>S24+S25</f>
        <v>78.7</v>
      </c>
      <c r="T26" s="194">
        <f>T24+T25</f>
        <v>0</v>
      </c>
      <c r="U26" s="192">
        <f>V26+X26</f>
        <v>132</v>
      </c>
      <c r="V26" s="193">
        <f>V24+V25</f>
        <v>132</v>
      </c>
      <c r="W26" s="193">
        <f>W24+W25</f>
        <v>78.7</v>
      </c>
      <c r="X26" s="194">
        <f>X24+X25</f>
        <v>0</v>
      </c>
    </row>
    <row r="27" spans="1:24" ht="19.899999999999999" customHeight="1" thickBot="1" x14ac:dyDescent="0.25">
      <c r="A27" s="3689">
        <v>1</v>
      </c>
      <c r="B27" s="3690">
        <v>2</v>
      </c>
      <c r="C27" s="3691">
        <v>4</v>
      </c>
      <c r="D27" s="3692" t="s">
        <v>953</v>
      </c>
      <c r="E27" s="3693" t="s">
        <v>940</v>
      </c>
      <c r="F27" s="336" t="s">
        <v>141</v>
      </c>
      <c r="G27" s="336" t="s">
        <v>1335</v>
      </c>
      <c r="H27" s="8" t="s">
        <v>30</v>
      </c>
      <c r="I27" s="12"/>
      <c r="J27" s="39"/>
      <c r="K27" s="44"/>
      <c r="L27" s="195"/>
      <c r="M27" s="12">
        <v>20</v>
      </c>
      <c r="N27" s="39">
        <v>20</v>
      </c>
      <c r="O27" s="44"/>
      <c r="P27" s="195"/>
      <c r="Q27" s="12">
        <v>20</v>
      </c>
      <c r="R27" s="39">
        <v>20</v>
      </c>
      <c r="S27" s="44"/>
      <c r="T27" s="195"/>
      <c r="U27" s="12">
        <v>20</v>
      </c>
      <c r="V27" s="39">
        <v>20</v>
      </c>
      <c r="W27" s="44"/>
      <c r="X27" s="195"/>
    </row>
    <row r="28" spans="1:24" ht="19.899999999999999" customHeight="1" thickBot="1" x14ac:dyDescent="0.25">
      <c r="A28" s="3689"/>
      <c r="B28" s="3690"/>
      <c r="C28" s="3691"/>
      <c r="D28" s="3692"/>
      <c r="E28" s="3693"/>
      <c r="F28" s="3694" t="s">
        <v>35</v>
      </c>
      <c r="G28" s="3694"/>
      <c r="H28" s="3695"/>
      <c r="I28" s="192">
        <f>J28+L28</f>
        <v>0</v>
      </c>
      <c r="J28" s="193">
        <f>J27</f>
        <v>0</v>
      </c>
      <c r="K28" s="193">
        <f>K27</f>
        <v>0</v>
      </c>
      <c r="L28" s="194">
        <v>0</v>
      </c>
      <c r="M28" s="192">
        <f>N28+P28</f>
        <v>20</v>
      </c>
      <c r="N28" s="193">
        <f>N27</f>
        <v>20</v>
      </c>
      <c r="O28" s="193">
        <f>O27</f>
        <v>0</v>
      </c>
      <c r="P28" s="194">
        <v>0</v>
      </c>
      <c r="Q28" s="192">
        <f>R28+T28</f>
        <v>20</v>
      </c>
      <c r="R28" s="193">
        <f>R27</f>
        <v>20</v>
      </c>
      <c r="S28" s="193">
        <f>S27</f>
        <v>0</v>
      </c>
      <c r="T28" s="194">
        <f>T27</f>
        <v>0</v>
      </c>
      <c r="U28" s="192">
        <f>V28+X28</f>
        <v>20</v>
      </c>
      <c r="V28" s="193">
        <f>V27</f>
        <v>20</v>
      </c>
      <c r="W28" s="193">
        <f>W27</f>
        <v>0</v>
      </c>
      <c r="X28" s="194">
        <f>X27</f>
        <v>0</v>
      </c>
    </row>
    <row r="29" spans="1:24" ht="13.5" thickBot="1" x14ac:dyDescent="0.25">
      <c r="A29" s="182">
        <v>1</v>
      </c>
      <c r="B29" s="183">
        <v>2</v>
      </c>
      <c r="C29" s="3726" t="s">
        <v>234</v>
      </c>
      <c r="D29" s="3726"/>
      <c r="E29" s="3726"/>
      <c r="F29" s="3726"/>
      <c r="G29" s="3726"/>
      <c r="H29" s="3726"/>
      <c r="I29" s="196">
        <f>SUM(L29,J29)</f>
        <v>1136.5999999999999</v>
      </c>
      <c r="J29" s="197">
        <f>J28+J23+J20+J26</f>
        <v>1136.5999999999999</v>
      </c>
      <c r="K29" s="197">
        <f t="shared" ref="K29:L29" si="0">K28+K23+K20+K26</f>
        <v>270.3</v>
      </c>
      <c r="L29" s="197">
        <f t="shared" si="0"/>
        <v>0</v>
      </c>
      <c r="M29" s="196">
        <f>SUM(P29,N29)</f>
        <v>1286</v>
      </c>
      <c r="N29" s="197">
        <f>N28+N23+N20+N26</f>
        <v>1286</v>
      </c>
      <c r="O29" s="197">
        <f t="shared" ref="O29" si="1">O28+O23+O20+O26</f>
        <v>316.2</v>
      </c>
      <c r="P29" s="197">
        <f t="shared" ref="P29" si="2">P28+P23+P20+P26</f>
        <v>0</v>
      </c>
      <c r="Q29" s="196">
        <f>SUM(T29,R29)</f>
        <v>1297</v>
      </c>
      <c r="R29" s="197">
        <f>R28+R23+R20+R26</f>
        <v>1297</v>
      </c>
      <c r="S29" s="197">
        <f t="shared" ref="S29" si="3">S28+S23+S20+S26</f>
        <v>327.2</v>
      </c>
      <c r="T29" s="197">
        <f t="shared" ref="T29" si="4">T28+T23+T20+T26</f>
        <v>0</v>
      </c>
      <c r="U29" s="196">
        <f>SUM(X29,V29)</f>
        <v>1309</v>
      </c>
      <c r="V29" s="197">
        <f>V28+V23+V20+V26</f>
        <v>1309</v>
      </c>
      <c r="W29" s="197">
        <f t="shared" ref="W29" si="5">W28+W23+W20+W26</f>
        <v>339.2</v>
      </c>
      <c r="X29" s="197">
        <f t="shared" ref="X29" si="6">X28+X23+X20+X26</f>
        <v>0</v>
      </c>
    </row>
    <row r="30" spans="1:24" ht="13.5" thickBot="1" x14ac:dyDescent="0.25">
      <c r="A30" s="199">
        <v>1</v>
      </c>
      <c r="B30" s="3727" t="s">
        <v>167</v>
      </c>
      <c r="C30" s="3727"/>
      <c r="D30" s="3727"/>
      <c r="E30" s="3727"/>
      <c r="F30" s="3727"/>
      <c r="G30" s="3727"/>
      <c r="H30" s="3727"/>
      <c r="I30" s="200">
        <f>SUM(J30,L30)</f>
        <v>1891.3</v>
      </c>
      <c r="J30" s="201">
        <f>SUM(J29,J16)</f>
        <v>1879.3</v>
      </c>
      <c r="K30" s="201">
        <f>K29+K16</f>
        <v>813.7</v>
      </c>
      <c r="L30" s="201">
        <f>SUM(L29,L16)</f>
        <v>12</v>
      </c>
      <c r="M30" s="200">
        <f>SUM(N30,P30)</f>
        <v>2132.4</v>
      </c>
      <c r="N30" s="201">
        <f>SUM(N29,N16)</f>
        <v>2132.4</v>
      </c>
      <c r="O30" s="201">
        <f>SUM(O29,O16)</f>
        <v>935.2</v>
      </c>
      <c r="P30" s="201">
        <f>SUM(P29,P16)</f>
        <v>0</v>
      </c>
      <c r="Q30" s="200">
        <f>SUM(R30,T30)</f>
        <v>2143.4</v>
      </c>
      <c r="R30" s="201">
        <f>SUM(R29,R16)</f>
        <v>2143.4</v>
      </c>
      <c r="S30" s="201">
        <f>SUM(S29,S16)</f>
        <v>946.2</v>
      </c>
      <c r="T30" s="202">
        <f>SUM(T29,T16)</f>
        <v>0</v>
      </c>
      <c r="U30" s="200">
        <f>SUM(V30,X30)</f>
        <v>2155.4</v>
      </c>
      <c r="V30" s="201">
        <f>SUM(V29,V16)</f>
        <v>2155.4</v>
      </c>
      <c r="W30" s="201">
        <f>SUM(W29,W16)</f>
        <v>958.2</v>
      </c>
      <c r="X30" s="202">
        <f>SUM(X29,X16)</f>
        <v>0</v>
      </c>
    </row>
    <row r="31" spans="1:24" ht="13.5" thickBot="1" x14ac:dyDescent="0.25">
      <c r="A31" s="203">
        <v>2</v>
      </c>
      <c r="B31" s="3728" t="s">
        <v>954</v>
      </c>
      <c r="C31" s="3728"/>
      <c r="D31" s="3728"/>
      <c r="E31" s="3728"/>
      <c r="F31" s="3728"/>
      <c r="G31" s="3728"/>
      <c r="H31" s="3728"/>
      <c r="I31" s="3728"/>
      <c r="J31" s="3728"/>
      <c r="K31" s="3728"/>
      <c r="L31" s="3728"/>
      <c r="M31" s="3728"/>
      <c r="N31" s="3728"/>
      <c r="O31" s="3728"/>
      <c r="P31" s="3728"/>
      <c r="Q31" s="3728"/>
      <c r="R31" s="3728"/>
      <c r="S31" s="3728"/>
      <c r="T31" s="3728"/>
      <c r="U31" s="3728"/>
      <c r="V31" s="3728"/>
      <c r="W31" s="3728"/>
      <c r="X31" s="3728"/>
    </row>
    <row r="32" spans="1:24" ht="13.5" thickBot="1" x14ac:dyDescent="0.25">
      <c r="A32" s="203">
        <v>2</v>
      </c>
      <c r="B32" s="204">
        <v>1</v>
      </c>
      <c r="C32" s="3729" t="s">
        <v>955</v>
      </c>
      <c r="D32" s="3729"/>
      <c r="E32" s="3729"/>
      <c r="F32" s="3729"/>
      <c r="G32" s="3729"/>
      <c r="H32" s="3729"/>
      <c r="I32" s="3729"/>
      <c r="J32" s="3729"/>
      <c r="K32" s="3729"/>
      <c r="L32" s="3729"/>
      <c r="M32" s="3729"/>
      <c r="N32" s="3729"/>
      <c r="O32" s="3729"/>
      <c r="P32" s="3729"/>
      <c r="Q32" s="3729"/>
      <c r="R32" s="3729"/>
      <c r="S32" s="3729"/>
      <c r="T32" s="3729"/>
      <c r="U32" s="3729"/>
      <c r="V32" s="3729"/>
      <c r="W32" s="3729"/>
      <c r="X32" s="3729"/>
    </row>
    <row r="33" spans="1:24" ht="21" customHeight="1" x14ac:dyDescent="0.2">
      <c r="A33" s="3689">
        <v>2</v>
      </c>
      <c r="B33" s="3730">
        <v>1</v>
      </c>
      <c r="C33" s="3731">
        <v>1</v>
      </c>
      <c r="D33" s="3732" t="s">
        <v>956</v>
      </c>
      <c r="E33" s="3733" t="s">
        <v>940</v>
      </c>
      <c r="F33" s="3706" t="s">
        <v>957</v>
      </c>
      <c r="G33" s="3706" t="s">
        <v>958</v>
      </c>
      <c r="H33" s="100" t="s">
        <v>634</v>
      </c>
      <c r="I33" s="16">
        <f>J33+L33</f>
        <v>0</v>
      </c>
      <c r="J33" s="14"/>
      <c r="K33" s="14"/>
      <c r="L33" s="11"/>
      <c r="M33" s="16">
        <f>N33+P33</f>
        <v>0</v>
      </c>
      <c r="N33" s="14"/>
      <c r="O33" s="14"/>
      <c r="P33" s="11"/>
      <c r="Q33" s="16">
        <f>R33+T33</f>
        <v>0</v>
      </c>
      <c r="R33" s="14"/>
      <c r="S33" s="14"/>
      <c r="T33" s="11"/>
      <c r="U33" s="38">
        <f>V33+X33</f>
        <v>0</v>
      </c>
      <c r="V33" s="39"/>
      <c r="W33" s="39"/>
      <c r="X33" s="40"/>
    </row>
    <row r="34" spans="1:24" ht="21" customHeight="1" thickBot="1" x14ac:dyDescent="0.25">
      <c r="A34" s="3689"/>
      <c r="B34" s="3730"/>
      <c r="C34" s="3731"/>
      <c r="D34" s="3732"/>
      <c r="E34" s="3733"/>
      <c r="F34" s="3707"/>
      <c r="G34" s="3707"/>
      <c r="H34" s="205" t="s">
        <v>30</v>
      </c>
      <c r="I34" s="16">
        <v>200</v>
      </c>
      <c r="J34" s="14"/>
      <c r="K34" s="14"/>
      <c r="L34" s="11">
        <v>200</v>
      </c>
      <c r="M34" s="1995">
        <f>N34+P34</f>
        <v>471</v>
      </c>
      <c r="N34" s="1996">
        <v>10</v>
      </c>
      <c r="O34" s="1996"/>
      <c r="P34" s="1997">
        <f>200+30+6+200+25</f>
        <v>461</v>
      </c>
      <c r="Q34" s="16">
        <v>200</v>
      </c>
      <c r="R34" s="14"/>
      <c r="S34" s="14"/>
      <c r="T34" s="11">
        <v>200</v>
      </c>
      <c r="U34" s="12">
        <v>200</v>
      </c>
      <c r="V34" s="14"/>
      <c r="W34" s="14"/>
      <c r="X34" s="11">
        <v>200</v>
      </c>
    </row>
    <row r="35" spans="1:24" ht="21" customHeight="1" thickBot="1" x14ac:dyDescent="0.25">
      <c r="A35" s="3689"/>
      <c r="B35" s="3730"/>
      <c r="C35" s="3731"/>
      <c r="D35" s="3732"/>
      <c r="E35" s="3733"/>
      <c r="F35" s="3708" t="s">
        <v>35</v>
      </c>
      <c r="G35" s="3708"/>
      <c r="H35" s="3709"/>
      <c r="I35" s="206">
        <f>I33+I34</f>
        <v>200</v>
      </c>
      <c r="J35" s="180">
        <f t="shared" ref="J35:K35" si="7">SUM(J33:J33)</f>
        <v>0</v>
      </c>
      <c r="K35" s="206">
        <f t="shared" si="7"/>
        <v>0</v>
      </c>
      <c r="L35" s="181">
        <f>L33+L34</f>
        <v>200</v>
      </c>
      <c r="M35" s="206">
        <f>M33+M34</f>
        <v>471</v>
      </c>
      <c r="N35" s="180">
        <f t="shared" ref="N35:O35" si="8">N33+N34</f>
        <v>10</v>
      </c>
      <c r="O35" s="206">
        <f t="shared" si="8"/>
        <v>0</v>
      </c>
      <c r="P35" s="181">
        <f>P33+P34</f>
        <v>461</v>
      </c>
      <c r="Q35" s="206">
        <f>Q33+Q34</f>
        <v>200</v>
      </c>
      <c r="R35" s="180">
        <f t="shared" ref="R35:S35" si="9">SUM(R33:R33)</f>
        <v>0</v>
      </c>
      <c r="S35" s="207">
        <f t="shared" si="9"/>
        <v>0</v>
      </c>
      <c r="T35" s="181">
        <f>T33+T34</f>
        <v>200</v>
      </c>
      <c r="U35" s="1533">
        <f>U33+U34</f>
        <v>200</v>
      </c>
      <c r="V35" s="180">
        <f t="shared" ref="V35:W35" si="10">SUM(V33:V33)</f>
        <v>0</v>
      </c>
      <c r="W35" s="207">
        <f t="shared" si="10"/>
        <v>0</v>
      </c>
      <c r="X35" s="1534">
        <f>X33+X34</f>
        <v>200</v>
      </c>
    </row>
    <row r="36" spans="1:24" ht="22.5" x14ac:dyDescent="0.2">
      <c r="A36" s="3710">
        <v>2</v>
      </c>
      <c r="B36" s="3690">
        <v>1</v>
      </c>
      <c r="C36" s="3691">
        <v>2</v>
      </c>
      <c r="D36" s="3711" t="s">
        <v>959</v>
      </c>
      <c r="E36" s="37" t="s">
        <v>948</v>
      </c>
      <c r="F36" s="3020" t="s">
        <v>945</v>
      </c>
      <c r="G36" s="3712" t="s">
        <v>960</v>
      </c>
      <c r="H36" s="100" t="s">
        <v>30</v>
      </c>
      <c r="I36" s="38">
        <f>J36+L36</f>
        <v>0</v>
      </c>
      <c r="J36" s="39">
        <v>0</v>
      </c>
      <c r="K36" s="39">
        <v>0</v>
      </c>
      <c r="L36" s="40"/>
      <c r="M36" s="1998">
        <f t="shared" ref="M36:M37" si="11">N36+P36</f>
        <v>0</v>
      </c>
      <c r="N36" s="1999">
        <v>0</v>
      </c>
      <c r="O36" s="1999">
        <v>0</v>
      </c>
      <c r="P36" s="2000"/>
      <c r="Q36" s="2001"/>
      <c r="R36" s="1999">
        <v>0</v>
      </c>
      <c r="S36" s="1999">
        <v>0</v>
      </c>
      <c r="T36" s="2000"/>
      <c r="U36" s="38"/>
      <c r="V36" s="39">
        <v>0</v>
      </c>
      <c r="W36" s="39">
        <v>0</v>
      </c>
      <c r="X36" s="40"/>
    </row>
    <row r="37" spans="1:24" x14ac:dyDescent="0.2">
      <c r="A37" s="3710"/>
      <c r="B37" s="3690"/>
      <c r="C37" s="3691"/>
      <c r="D37" s="3711"/>
      <c r="E37" s="3713" t="s">
        <v>114</v>
      </c>
      <c r="F37" s="3020"/>
      <c r="G37" s="3712"/>
      <c r="H37" s="99" t="s">
        <v>30</v>
      </c>
      <c r="I37" s="12">
        <v>444.2</v>
      </c>
      <c r="J37" s="14"/>
      <c r="K37" s="14"/>
      <c r="L37" s="11">
        <v>444.1</v>
      </c>
      <c r="M37" s="2002">
        <f t="shared" si="11"/>
        <v>300</v>
      </c>
      <c r="N37" s="1996"/>
      <c r="O37" s="1996"/>
      <c r="P37" s="1997">
        <v>300</v>
      </c>
      <c r="Q37" s="1995">
        <v>300</v>
      </c>
      <c r="R37" s="1996"/>
      <c r="S37" s="1996"/>
      <c r="T37" s="1997">
        <v>300</v>
      </c>
      <c r="U37" s="12"/>
      <c r="V37" s="14"/>
      <c r="W37" s="14"/>
      <c r="X37" s="11"/>
    </row>
    <row r="38" spans="1:24" x14ac:dyDescent="0.2">
      <c r="A38" s="3710"/>
      <c r="B38" s="3690"/>
      <c r="C38" s="3691"/>
      <c r="D38" s="3711"/>
      <c r="E38" s="3713"/>
      <c r="F38" s="3020"/>
      <c r="G38" s="3712"/>
      <c r="H38" s="2035" t="s">
        <v>202</v>
      </c>
      <c r="I38" s="12"/>
      <c r="J38" s="14"/>
      <c r="K38" s="14"/>
      <c r="L38" s="11"/>
      <c r="M38" s="2002">
        <v>200</v>
      </c>
      <c r="N38" s="1996"/>
      <c r="O38" s="1996"/>
      <c r="P38" s="1997">
        <v>200</v>
      </c>
      <c r="Q38" s="1995"/>
      <c r="R38" s="1996"/>
      <c r="S38" s="1996"/>
      <c r="T38" s="1997"/>
      <c r="U38" s="12"/>
      <c r="V38" s="14"/>
      <c r="W38" s="14"/>
      <c r="X38" s="11"/>
    </row>
    <row r="39" spans="1:24" x14ac:dyDescent="0.2">
      <c r="A39" s="3710"/>
      <c r="B39" s="3690"/>
      <c r="C39" s="3691"/>
      <c r="D39" s="3711"/>
      <c r="E39" s="3713"/>
      <c r="F39" s="3020"/>
      <c r="G39" s="3712"/>
      <c r="H39" s="208" t="s">
        <v>112</v>
      </c>
      <c r="I39" s="12">
        <v>20.2</v>
      </c>
      <c r="J39" s="14"/>
      <c r="K39" s="14"/>
      <c r="L39" s="11">
        <v>20.2</v>
      </c>
      <c r="M39" s="12"/>
      <c r="N39" s="14"/>
      <c r="O39" s="14"/>
      <c r="P39" s="11"/>
      <c r="Q39" s="16"/>
      <c r="R39" s="14"/>
      <c r="S39" s="14"/>
      <c r="T39" s="11"/>
      <c r="U39" s="12"/>
      <c r="V39" s="14"/>
      <c r="W39" s="14"/>
      <c r="X39" s="11"/>
    </row>
    <row r="40" spans="1:24" ht="13.5" thickBot="1" x14ac:dyDescent="0.25">
      <c r="A40" s="3710"/>
      <c r="B40" s="3690"/>
      <c r="C40" s="3691"/>
      <c r="D40" s="3711"/>
      <c r="E40" s="3713"/>
      <c r="F40" s="3020"/>
      <c r="G40" s="3712"/>
      <c r="H40" s="209" t="s">
        <v>111</v>
      </c>
      <c r="I40" s="15">
        <v>114.6</v>
      </c>
      <c r="J40" s="41"/>
      <c r="K40" s="41">
        <v>0</v>
      </c>
      <c r="L40" s="42">
        <v>114.6</v>
      </c>
      <c r="M40" s="15">
        <f>N40+P40</f>
        <v>0</v>
      </c>
      <c r="N40" s="41">
        <v>0</v>
      </c>
      <c r="O40" s="41">
        <v>0</v>
      </c>
      <c r="P40" s="42"/>
      <c r="Q40" s="15"/>
      <c r="R40" s="41">
        <v>0</v>
      </c>
      <c r="S40" s="41">
        <v>0</v>
      </c>
      <c r="T40" s="42"/>
      <c r="U40" s="25"/>
      <c r="V40" s="26">
        <v>0</v>
      </c>
      <c r="W40" s="26">
        <v>0</v>
      </c>
      <c r="X40" s="27"/>
    </row>
    <row r="41" spans="1:24" ht="13.5" thickBot="1" x14ac:dyDescent="0.25">
      <c r="A41" s="3710"/>
      <c r="B41" s="3690"/>
      <c r="C41" s="3691"/>
      <c r="D41" s="3711"/>
      <c r="E41" s="210"/>
      <c r="F41" s="3709" t="s">
        <v>35</v>
      </c>
      <c r="G41" s="3709"/>
      <c r="H41" s="3709"/>
      <c r="I41" s="179">
        <f>L41+J41</f>
        <v>578.9</v>
      </c>
      <c r="J41" s="180">
        <f>SUM(J36:J40)</f>
        <v>0</v>
      </c>
      <c r="K41" s="180">
        <f t="shared" ref="K41:L41" si="12">SUM(K36:K40)</f>
        <v>0</v>
      </c>
      <c r="L41" s="180">
        <f t="shared" si="12"/>
        <v>578.9</v>
      </c>
      <c r="M41" s="179">
        <f>SUM(P41,N41)</f>
        <v>500</v>
      </c>
      <c r="N41" s="180">
        <f>SUM(N36:N40)</f>
        <v>0</v>
      </c>
      <c r="O41" s="180">
        <f t="shared" ref="O41" si="13">SUM(O36:O40)</f>
        <v>0</v>
      </c>
      <c r="P41" s="180">
        <f t="shared" ref="P41" si="14">SUM(P36:P40)</f>
        <v>500</v>
      </c>
      <c r="Q41" s="179">
        <f>SUM(T41,R41)</f>
        <v>300</v>
      </c>
      <c r="R41" s="180">
        <f>SUM(R36:R40)</f>
        <v>0</v>
      </c>
      <c r="S41" s="180">
        <f t="shared" ref="S41" si="15">SUM(S36:S40)</f>
        <v>0</v>
      </c>
      <c r="T41" s="180">
        <f t="shared" ref="T41" si="16">SUM(T36:T40)</f>
        <v>300</v>
      </c>
      <c r="U41" s="179">
        <f>SUM(X41,V41)</f>
        <v>0</v>
      </c>
      <c r="V41" s="180">
        <f>SUM(V36:V40)</f>
        <v>0</v>
      </c>
      <c r="W41" s="180">
        <f t="shared" ref="W41" si="17">SUM(W36:W40)</f>
        <v>0</v>
      </c>
      <c r="X41" s="180">
        <f t="shared" ref="X41" si="18">SUM(X36:X40)</f>
        <v>0</v>
      </c>
    </row>
    <row r="42" spans="1:24" ht="22.5" x14ac:dyDescent="0.2">
      <c r="A42" s="3721">
        <v>2</v>
      </c>
      <c r="B42" s="3690">
        <v>1</v>
      </c>
      <c r="C42" s="3722">
        <v>3</v>
      </c>
      <c r="D42" s="3723" t="s">
        <v>961</v>
      </c>
      <c r="E42" s="211" t="s">
        <v>940</v>
      </c>
      <c r="F42" s="3019" t="s">
        <v>945</v>
      </c>
      <c r="G42" s="3724" t="s">
        <v>962</v>
      </c>
      <c r="H42" s="102" t="s">
        <v>30</v>
      </c>
      <c r="I42" s="38"/>
      <c r="J42" s="39"/>
      <c r="K42" s="39"/>
      <c r="L42" s="40"/>
      <c r="M42" s="38"/>
      <c r="N42" s="39"/>
      <c r="O42" s="39"/>
      <c r="P42" s="40"/>
      <c r="Q42" s="38"/>
      <c r="R42" s="39"/>
      <c r="S42" s="39"/>
      <c r="T42" s="40"/>
      <c r="U42" s="38"/>
      <c r="V42" s="39"/>
      <c r="W42" s="39"/>
      <c r="X42" s="40"/>
    </row>
    <row r="43" spans="1:24" x14ac:dyDescent="0.2">
      <c r="A43" s="3721"/>
      <c r="B43" s="3690"/>
      <c r="C43" s="3722"/>
      <c r="D43" s="3723"/>
      <c r="E43" s="3725" t="s">
        <v>114</v>
      </c>
      <c r="F43" s="3019"/>
      <c r="G43" s="3724"/>
      <c r="H43" s="102" t="s">
        <v>30</v>
      </c>
      <c r="I43" s="12">
        <v>10.6</v>
      </c>
      <c r="J43" s="14"/>
      <c r="K43" s="14"/>
      <c r="L43" s="11">
        <v>10.6</v>
      </c>
      <c r="M43" s="12">
        <v>500</v>
      </c>
      <c r="N43" s="14"/>
      <c r="O43" s="14"/>
      <c r="P43" s="11">
        <v>500</v>
      </c>
      <c r="Q43" s="12">
        <f>R43+T43</f>
        <v>2500</v>
      </c>
      <c r="R43" s="14"/>
      <c r="S43" s="14"/>
      <c r="T43" s="11">
        <v>2500</v>
      </c>
      <c r="U43" s="12">
        <v>5000</v>
      </c>
      <c r="V43" s="14"/>
      <c r="W43" s="14"/>
      <c r="X43" s="11">
        <v>5000</v>
      </c>
    </row>
    <row r="44" spans="1:24" ht="22.5" x14ac:dyDescent="0.2">
      <c r="A44" s="3721"/>
      <c r="B44" s="3690"/>
      <c r="C44" s="3722"/>
      <c r="D44" s="3723"/>
      <c r="E44" s="3725"/>
      <c r="F44" s="3019"/>
      <c r="G44" s="3724"/>
      <c r="H44" s="46" t="s">
        <v>99</v>
      </c>
      <c r="I44" s="12">
        <f>SUM(L44,K44,J44)</f>
        <v>0</v>
      </c>
      <c r="J44" s="14"/>
      <c r="K44" s="14"/>
      <c r="L44" s="11">
        <f>209.1-209.1</f>
        <v>0</v>
      </c>
      <c r="M44" s="12"/>
      <c r="N44" s="14"/>
      <c r="O44" s="14"/>
      <c r="P44" s="11"/>
      <c r="Q44" s="12"/>
      <c r="R44" s="14"/>
      <c r="S44" s="14"/>
      <c r="T44" s="11"/>
      <c r="U44" s="12"/>
      <c r="V44" s="14"/>
      <c r="W44" s="14"/>
      <c r="X44" s="11"/>
    </row>
    <row r="45" spans="1:24" ht="23.25" thickBot="1" x14ac:dyDescent="0.25">
      <c r="A45" s="3721"/>
      <c r="B45" s="3690"/>
      <c r="C45" s="3722"/>
      <c r="D45" s="3723"/>
      <c r="E45" s="3725"/>
      <c r="F45" s="3019"/>
      <c r="G45" s="3724"/>
      <c r="H45" s="10" t="s">
        <v>963</v>
      </c>
      <c r="I45" s="15"/>
      <c r="J45" s="41"/>
      <c r="K45" s="41"/>
      <c r="L45" s="42"/>
      <c r="M45" s="15"/>
      <c r="N45" s="41"/>
      <c r="O45" s="41"/>
      <c r="P45" s="42"/>
      <c r="Q45" s="15"/>
      <c r="R45" s="41"/>
      <c r="S45" s="41"/>
      <c r="T45" s="42"/>
      <c r="U45" s="15">
        <v>841</v>
      </c>
      <c r="V45" s="41"/>
      <c r="W45" s="41"/>
      <c r="X45" s="42">
        <v>841</v>
      </c>
    </row>
    <row r="46" spans="1:24" ht="13.5" thickBot="1" x14ac:dyDescent="0.25">
      <c r="A46" s="3721"/>
      <c r="B46" s="3690"/>
      <c r="C46" s="3722"/>
      <c r="D46" s="3723"/>
      <c r="E46" s="212"/>
      <c r="F46" s="3709" t="s">
        <v>35</v>
      </c>
      <c r="G46" s="3709"/>
      <c r="H46" s="3709"/>
      <c r="I46" s="179">
        <f>SUM(L46,J46)</f>
        <v>10.6</v>
      </c>
      <c r="J46" s="180">
        <f>SUM(J42:J45)</f>
        <v>0</v>
      </c>
      <c r="K46" s="180">
        <f>SUM(K42:K45)</f>
        <v>0</v>
      </c>
      <c r="L46" s="325">
        <f>SUM(L42:L45)</f>
        <v>10.6</v>
      </c>
      <c r="M46" s="179">
        <f>SUM(P46,N46)</f>
        <v>500</v>
      </c>
      <c r="N46" s="180">
        <f>SUM(N42:N45)</f>
        <v>0</v>
      </c>
      <c r="O46" s="180">
        <f>SUM(O42:O45)</f>
        <v>0</v>
      </c>
      <c r="P46" s="181">
        <f>SUM(P42:P45)</f>
        <v>500</v>
      </c>
      <c r="Q46" s="207">
        <f>SUM(T46,R46)</f>
        <v>2500</v>
      </c>
      <c r="R46" s="180">
        <f>SUM(R42:R45)</f>
        <v>0</v>
      </c>
      <c r="S46" s="180">
        <f>SUM(S42:S45)</f>
        <v>0</v>
      </c>
      <c r="T46" s="325">
        <f>SUM(T42:T45)</f>
        <v>2500</v>
      </c>
      <c r="U46" s="179">
        <f>SUM(X46,V46)</f>
        <v>5841</v>
      </c>
      <c r="V46" s="180">
        <f>SUM(V42:V45)</f>
        <v>0</v>
      </c>
      <c r="W46" s="180">
        <f>SUM(W42:W45)</f>
        <v>0</v>
      </c>
      <c r="X46" s="181">
        <f>SUM(X42:X45)</f>
        <v>5841</v>
      </c>
    </row>
    <row r="47" spans="1:24" ht="13.5" thickBot="1" x14ac:dyDescent="0.25">
      <c r="A47" s="213">
        <v>2</v>
      </c>
      <c r="B47" s="3715" t="s">
        <v>234</v>
      </c>
      <c r="C47" s="3716"/>
      <c r="D47" s="3716"/>
      <c r="E47" s="3716"/>
      <c r="F47" s="3716"/>
      <c r="G47" s="3716"/>
      <c r="H47" s="3717"/>
      <c r="I47" s="197">
        <f t="shared" ref="I47" si="19">I46</f>
        <v>10.6</v>
      </c>
      <c r="J47" s="197">
        <f>J46+J41+J35</f>
        <v>0</v>
      </c>
      <c r="K47" s="197">
        <f t="shared" ref="K47" si="20">K46+K41+K35</f>
        <v>0</v>
      </c>
      <c r="L47" s="326">
        <f>L46+L41+L35</f>
        <v>789.5</v>
      </c>
      <c r="M47" s="196">
        <f t="shared" ref="M47:U47" si="21">M46</f>
        <v>500</v>
      </c>
      <c r="N47" s="197">
        <f>N46+N41+N35</f>
        <v>10</v>
      </c>
      <c r="O47" s="197">
        <f t="shared" ref="O47" si="22">O46+O41+O35</f>
        <v>0</v>
      </c>
      <c r="P47" s="198">
        <f>P46+P41+P35</f>
        <v>1461</v>
      </c>
      <c r="Q47" s="329">
        <f t="shared" ref="Q47" si="23">Q46</f>
        <v>2500</v>
      </c>
      <c r="R47" s="197">
        <f>R46+R41+R35</f>
        <v>0</v>
      </c>
      <c r="S47" s="197">
        <f t="shared" ref="S47:T47" si="24">S46+S41+S35</f>
        <v>0</v>
      </c>
      <c r="T47" s="326">
        <f t="shared" si="24"/>
        <v>3000</v>
      </c>
      <c r="U47" s="196">
        <f t="shared" si="21"/>
        <v>5841</v>
      </c>
      <c r="V47" s="197">
        <f>V46+V41+V35</f>
        <v>0</v>
      </c>
      <c r="W47" s="197">
        <f t="shared" ref="W47" si="25">W46+W41+W35</f>
        <v>0</v>
      </c>
      <c r="X47" s="198">
        <f>X46+X41+X35</f>
        <v>6041</v>
      </c>
    </row>
    <row r="48" spans="1:24" ht="13.5" thickBot="1" x14ac:dyDescent="0.25">
      <c r="A48" s="3718" t="s">
        <v>167</v>
      </c>
      <c r="B48" s="3718"/>
      <c r="C48" s="3718"/>
      <c r="D48" s="3718"/>
      <c r="E48" s="3718"/>
      <c r="F48" s="3718"/>
      <c r="G48" s="3718"/>
      <c r="H48" s="3718"/>
      <c r="I48" s="201">
        <f>J48+L4+L48</f>
        <v>789.5</v>
      </c>
      <c r="J48" s="201">
        <f>J47</f>
        <v>0</v>
      </c>
      <c r="K48" s="201">
        <f t="shared" ref="K48" si="26">K47</f>
        <v>0</v>
      </c>
      <c r="L48" s="327">
        <f>L47</f>
        <v>789.5</v>
      </c>
      <c r="M48" s="200">
        <f>+P48</f>
        <v>1461</v>
      </c>
      <c r="N48" s="201">
        <f>N47</f>
        <v>10</v>
      </c>
      <c r="O48" s="201">
        <f t="shared" ref="O48:P48" si="27">O47</f>
        <v>0</v>
      </c>
      <c r="P48" s="202">
        <f t="shared" si="27"/>
        <v>1461</v>
      </c>
      <c r="Q48" s="330">
        <f>R48+T48</f>
        <v>3000</v>
      </c>
      <c r="R48" s="201">
        <f>R47</f>
        <v>0</v>
      </c>
      <c r="S48" s="201">
        <f t="shared" ref="S48:T48" si="28">S47</f>
        <v>0</v>
      </c>
      <c r="T48" s="327">
        <f t="shared" si="28"/>
        <v>3000</v>
      </c>
      <c r="U48" s="200">
        <f>V48+X48</f>
        <v>6041</v>
      </c>
      <c r="V48" s="201">
        <f>V47</f>
        <v>0</v>
      </c>
      <c r="W48" s="201">
        <f t="shared" ref="W48:X48" si="29">W47</f>
        <v>0</v>
      </c>
      <c r="X48" s="202">
        <f t="shared" si="29"/>
        <v>6041</v>
      </c>
    </row>
    <row r="49" spans="1:24" ht="13.5" thickBot="1" x14ac:dyDescent="0.25">
      <c r="A49" s="214"/>
      <c r="B49" s="3719" t="s">
        <v>208</v>
      </c>
      <c r="C49" s="3719"/>
      <c r="D49" s="3719"/>
      <c r="E49" s="3719"/>
      <c r="F49" s="3719"/>
      <c r="G49" s="3719"/>
      <c r="H49" s="3719"/>
      <c r="I49" s="215">
        <f>SUM(L49,J49)</f>
        <v>2680.8</v>
      </c>
      <c r="J49" s="216">
        <f>SUM(J48,J30)</f>
        <v>1879.3</v>
      </c>
      <c r="K49" s="216">
        <f>SUM(K48,K30)</f>
        <v>813.7</v>
      </c>
      <c r="L49" s="328">
        <f>SUM(L48,L30)</f>
        <v>801.5</v>
      </c>
      <c r="M49" s="332">
        <f>SUM(P49,N49)</f>
        <v>3603.4</v>
      </c>
      <c r="N49" s="333">
        <f t="shared" ref="N49:X49" si="30">SUM(N48,N30)</f>
        <v>2142.4</v>
      </c>
      <c r="O49" s="333">
        <f t="shared" si="30"/>
        <v>935.2</v>
      </c>
      <c r="P49" s="334">
        <f>SUM(P48,P30)</f>
        <v>1461</v>
      </c>
      <c r="Q49" s="331">
        <f t="shared" ref="Q49:T49" si="31">SUM(Q48,Q30)</f>
        <v>5143.3999999999996</v>
      </c>
      <c r="R49" s="217">
        <f t="shared" si="31"/>
        <v>2143.4</v>
      </c>
      <c r="S49" s="217">
        <f t="shared" si="31"/>
        <v>946.2</v>
      </c>
      <c r="T49" s="328">
        <f t="shared" si="31"/>
        <v>3000</v>
      </c>
      <c r="U49" s="335">
        <f t="shared" si="30"/>
        <v>8196.4</v>
      </c>
      <c r="V49" s="334">
        <f t="shared" si="30"/>
        <v>2155.4</v>
      </c>
      <c r="W49" s="334">
        <f t="shared" si="30"/>
        <v>958.2</v>
      </c>
      <c r="X49" s="334">
        <f t="shared" si="30"/>
        <v>6041</v>
      </c>
    </row>
    <row r="50" spans="1:24" x14ac:dyDescent="0.2">
      <c r="A50" s="3720" t="s">
        <v>964</v>
      </c>
      <c r="B50" s="3720"/>
      <c r="C50" s="3720"/>
      <c r="D50" s="3720"/>
      <c r="E50" s="3720"/>
      <c r="F50" s="3720"/>
      <c r="G50" s="3720"/>
      <c r="H50" s="3720"/>
      <c r="I50" s="218">
        <f>SUM(L50+J50)</f>
        <v>2009</v>
      </c>
      <c r="J50" s="219">
        <f>J12+J18+J21+J24+J36+J37+J42+J43+J34+J27</f>
        <v>1342.3</v>
      </c>
      <c r="K50" s="219">
        <f t="shared" ref="K50:L50" si="32">K12+K18+K21+K24+K36+K37+K42+K43+K34+K27</f>
        <v>720.9</v>
      </c>
      <c r="L50" s="1063">
        <f t="shared" si="32"/>
        <v>666.7</v>
      </c>
      <c r="M50" s="218">
        <f>SUM(P50+N50)</f>
        <v>2822.4</v>
      </c>
      <c r="N50" s="219">
        <f>N12+N18+N21+N24+N36+N37+N42+N43+N34+N27</f>
        <v>1561.4</v>
      </c>
      <c r="O50" s="219">
        <f t="shared" ref="O50:P50" si="33">O12+O18+O21+O24+O36+O37+O42+O43+O34+O27</f>
        <v>834.7</v>
      </c>
      <c r="P50" s="284">
        <f t="shared" si="33"/>
        <v>1261</v>
      </c>
      <c r="Q50" s="1065">
        <f>SUM(T50,R50)</f>
        <v>4562.3999999999996</v>
      </c>
      <c r="R50" s="219">
        <f>R12+R18+R21+R24+R36+R37+R42+R43+R34+R27</f>
        <v>1562.4</v>
      </c>
      <c r="S50" s="219">
        <f t="shared" ref="S50:T50" si="34">S12+S18+S21+S24+S36+S37+S42+S43+S34+S27</f>
        <v>845.7</v>
      </c>
      <c r="T50" s="1063">
        <f t="shared" si="34"/>
        <v>3000</v>
      </c>
      <c r="U50" s="218">
        <f>SUM(X50,V50)</f>
        <v>6774.4</v>
      </c>
      <c r="V50" s="219">
        <f>V12+V18+V21+V24+V36+V37+V42+V43+V34+V27</f>
        <v>1574.4</v>
      </c>
      <c r="W50" s="219">
        <f t="shared" ref="W50:X50" si="35">W12+W18+W21+W24+W36+W37+W42+W43+W34+W27</f>
        <v>857.7</v>
      </c>
      <c r="X50" s="284">
        <f t="shared" si="35"/>
        <v>5200</v>
      </c>
    </row>
    <row r="51" spans="1:24" x14ac:dyDescent="0.2">
      <c r="A51" s="3701" t="s">
        <v>965</v>
      </c>
      <c r="B51" s="3701"/>
      <c r="C51" s="3701"/>
      <c r="D51" s="3701"/>
      <c r="E51" s="3701"/>
      <c r="F51" s="3701"/>
      <c r="G51" s="3701"/>
      <c r="H51" s="3701"/>
      <c r="I51" s="106">
        <f>I14</f>
        <v>50</v>
      </c>
      <c r="J51" s="107">
        <f>J14</f>
        <v>50</v>
      </c>
      <c r="K51" s="107">
        <f t="shared" ref="K51:L51" si="36">K14</f>
        <v>18.3</v>
      </c>
      <c r="L51" s="108">
        <f t="shared" si="36"/>
        <v>0</v>
      </c>
      <c r="M51" s="106">
        <f t="shared" ref="M51:M54" si="37">SUM(P51,N51)</f>
        <v>60</v>
      </c>
      <c r="N51" s="107">
        <f>N14</f>
        <v>60</v>
      </c>
      <c r="O51" s="107">
        <f t="shared" ref="O51:P51" si="38">O14</f>
        <v>22</v>
      </c>
      <c r="P51" s="109">
        <f t="shared" si="38"/>
        <v>0</v>
      </c>
      <c r="Q51" s="106">
        <f t="shared" ref="Q51:Q54" si="39">SUM(T51,R51)</f>
        <v>60</v>
      </c>
      <c r="R51" s="107">
        <f>R14</f>
        <v>60</v>
      </c>
      <c r="S51" s="107">
        <f t="shared" ref="S51:T51" si="40">S14</f>
        <v>22</v>
      </c>
      <c r="T51" s="108">
        <f t="shared" si="40"/>
        <v>0</v>
      </c>
      <c r="U51" s="106">
        <f t="shared" ref="U51:U54" si="41">SUM(X51,V51)</f>
        <v>60</v>
      </c>
      <c r="V51" s="107">
        <f>V14</f>
        <v>60</v>
      </c>
      <c r="W51" s="107">
        <f t="shared" ref="W51:X51" si="42">W14</f>
        <v>22</v>
      </c>
      <c r="X51" s="109">
        <f t="shared" si="42"/>
        <v>0</v>
      </c>
    </row>
    <row r="52" spans="1:24" x14ac:dyDescent="0.2">
      <c r="A52" s="3701" t="s">
        <v>966</v>
      </c>
      <c r="B52" s="3701"/>
      <c r="C52" s="3701"/>
      <c r="D52" s="3701"/>
      <c r="E52" s="3701"/>
      <c r="F52" s="3701"/>
      <c r="G52" s="3701"/>
      <c r="H52" s="3701"/>
      <c r="I52" s="106">
        <f>I19+I22+I25</f>
        <v>487</v>
      </c>
      <c r="J52" s="107">
        <f>J19+J22+J25+J38</f>
        <v>487</v>
      </c>
      <c r="K52" s="107">
        <f t="shared" ref="K52:L52" si="43">K19+K22+K25+K38</f>
        <v>74.5</v>
      </c>
      <c r="L52" s="107">
        <f t="shared" si="43"/>
        <v>0</v>
      </c>
      <c r="M52" s="106">
        <f t="shared" si="37"/>
        <v>717</v>
      </c>
      <c r="N52" s="107">
        <f>N19+N22+N25+N38</f>
        <v>517</v>
      </c>
      <c r="O52" s="107">
        <f t="shared" ref="O52:P52" si="44">O19+O22+O25+O38</f>
        <v>74.5</v>
      </c>
      <c r="P52" s="108">
        <f t="shared" si="44"/>
        <v>200</v>
      </c>
      <c r="Q52" s="321">
        <f t="shared" si="39"/>
        <v>517</v>
      </c>
      <c r="R52" s="322">
        <f>R19+R22+R25+R38</f>
        <v>517</v>
      </c>
      <c r="S52" s="322">
        <f t="shared" ref="S52:T52" si="45">S19+S22+S25+S38</f>
        <v>74.5</v>
      </c>
      <c r="T52" s="322">
        <f t="shared" si="45"/>
        <v>0</v>
      </c>
      <c r="U52" s="321">
        <f t="shared" si="41"/>
        <v>517</v>
      </c>
      <c r="V52" s="322">
        <f>V19+V22+V25+V38</f>
        <v>517</v>
      </c>
      <c r="W52" s="322">
        <f t="shared" ref="W52:X52" si="46">W19+W22+W25+W38</f>
        <v>74.5</v>
      </c>
      <c r="X52" s="323">
        <f t="shared" si="46"/>
        <v>0</v>
      </c>
    </row>
    <row r="53" spans="1:24" x14ac:dyDescent="0.2">
      <c r="A53" s="3700" t="s">
        <v>967</v>
      </c>
      <c r="B53" s="3700"/>
      <c r="C53" s="3700"/>
      <c r="D53" s="3700"/>
      <c r="E53" s="3700"/>
      <c r="F53" s="3700"/>
      <c r="G53" s="3700"/>
      <c r="H53" s="3700"/>
      <c r="I53" s="106">
        <f>L53+J53</f>
        <v>0</v>
      </c>
      <c r="J53" s="107">
        <f>J33</f>
        <v>0</v>
      </c>
      <c r="K53" s="107">
        <f t="shared" ref="K53:L53" si="47">K33</f>
        <v>0</v>
      </c>
      <c r="L53" s="108">
        <f t="shared" si="47"/>
        <v>0</v>
      </c>
      <c r="M53" s="106">
        <f t="shared" si="37"/>
        <v>0</v>
      </c>
      <c r="N53" s="107">
        <f>N33</f>
        <v>0</v>
      </c>
      <c r="O53" s="107">
        <f t="shared" ref="O53:P53" si="48">O33</f>
        <v>0</v>
      </c>
      <c r="P53" s="109">
        <f t="shared" si="48"/>
        <v>0</v>
      </c>
      <c r="Q53" s="1992">
        <f t="shared" si="39"/>
        <v>0</v>
      </c>
      <c r="R53" s="322">
        <f>R33</f>
        <v>0</v>
      </c>
      <c r="S53" s="322">
        <f t="shared" ref="S53:T53" si="49">S33</f>
        <v>0</v>
      </c>
      <c r="T53" s="1993">
        <f t="shared" si="49"/>
        <v>0</v>
      </c>
      <c r="U53" s="321">
        <f t="shared" si="41"/>
        <v>0</v>
      </c>
      <c r="V53" s="322">
        <f>V33</f>
        <v>0</v>
      </c>
      <c r="W53" s="322">
        <f t="shared" ref="W53:X53" si="50">W33</f>
        <v>0</v>
      </c>
      <c r="X53" s="323">
        <f t="shared" si="50"/>
        <v>0</v>
      </c>
    </row>
    <row r="54" spans="1:24" x14ac:dyDescent="0.2">
      <c r="A54" s="3701" t="s">
        <v>300</v>
      </c>
      <c r="B54" s="3701"/>
      <c r="C54" s="3701"/>
      <c r="D54" s="3701"/>
      <c r="E54" s="3701"/>
      <c r="F54" s="3701"/>
      <c r="G54" s="3701"/>
      <c r="H54" s="3701"/>
      <c r="I54" s="106">
        <f t="shared" ref="I54" si="51">I40</f>
        <v>114.6</v>
      </c>
      <c r="J54" s="107">
        <f>J40</f>
        <v>0</v>
      </c>
      <c r="K54" s="107">
        <f t="shared" ref="K54:L54" si="52">K40</f>
        <v>0</v>
      </c>
      <c r="L54" s="108">
        <f t="shared" si="52"/>
        <v>114.6</v>
      </c>
      <c r="M54" s="106">
        <f t="shared" si="37"/>
        <v>0</v>
      </c>
      <c r="N54" s="107">
        <f>N40</f>
        <v>0</v>
      </c>
      <c r="O54" s="107">
        <f t="shared" ref="O54:P54" si="53">O40</f>
        <v>0</v>
      </c>
      <c r="P54" s="109">
        <f t="shared" si="53"/>
        <v>0</v>
      </c>
      <c r="Q54" s="220">
        <f t="shared" si="39"/>
        <v>0</v>
      </c>
      <c r="R54" s="107">
        <f>R40</f>
        <v>0</v>
      </c>
      <c r="S54" s="107">
        <f t="shared" ref="S54:T54" si="54">S40</f>
        <v>0</v>
      </c>
      <c r="T54" s="108">
        <f t="shared" si="54"/>
        <v>0</v>
      </c>
      <c r="U54" s="106">
        <f t="shared" si="41"/>
        <v>0</v>
      </c>
      <c r="V54" s="107">
        <f>V40</f>
        <v>0</v>
      </c>
      <c r="W54" s="107">
        <f t="shared" ref="W54:X54" si="55">W40</f>
        <v>0</v>
      </c>
      <c r="X54" s="109">
        <f t="shared" si="55"/>
        <v>0</v>
      </c>
    </row>
    <row r="55" spans="1:24" x14ac:dyDescent="0.2">
      <c r="A55" s="3701" t="s">
        <v>497</v>
      </c>
      <c r="B55" s="3701"/>
      <c r="C55" s="3701"/>
      <c r="D55" s="3701"/>
      <c r="E55" s="3701"/>
      <c r="F55" s="3701"/>
      <c r="G55" s="3701"/>
      <c r="H55" s="3701"/>
      <c r="I55" s="106">
        <f>J55+L55</f>
        <v>20.2</v>
      </c>
      <c r="J55" s="107">
        <f>J39</f>
        <v>0</v>
      </c>
      <c r="K55" s="107">
        <f t="shared" ref="K55:L55" si="56">K39</f>
        <v>0</v>
      </c>
      <c r="L55" s="108">
        <f t="shared" si="56"/>
        <v>20.2</v>
      </c>
      <c r="M55" s="106">
        <f>N55+P55</f>
        <v>0</v>
      </c>
      <c r="N55" s="107">
        <f>N39</f>
        <v>0</v>
      </c>
      <c r="O55" s="107">
        <f t="shared" ref="O55:P55" si="57">O39</f>
        <v>0</v>
      </c>
      <c r="P55" s="109">
        <f t="shared" si="57"/>
        <v>0</v>
      </c>
      <c r="Q55" s="220">
        <f>R55+T55</f>
        <v>0</v>
      </c>
      <c r="R55" s="107">
        <f>R39</f>
        <v>0</v>
      </c>
      <c r="S55" s="107">
        <f t="shared" ref="S55:T55" si="58">S39</f>
        <v>0</v>
      </c>
      <c r="T55" s="108">
        <f t="shared" si="58"/>
        <v>0</v>
      </c>
      <c r="U55" s="106">
        <f>V55+X55</f>
        <v>0</v>
      </c>
      <c r="V55" s="107">
        <f>V39</f>
        <v>0</v>
      </c>
      <c r="W55" s="107">
        <f t="shared" ref="W55:X55" si="59">W39</f>
        <v>0</v>
      </c>
      <c r="X55" s="109">
        <f t="shared" si="59"/>
        <v>0</v>
      </c>
    </row>
    <row r="56" spans="1:24" ht="27.75" customHeight="1" x14ac:dyDescent="0.2">
      <c r="A56" s="3701" t="s">
        <v>218</v>
      </c>
      <c r="B56" s="3702"/>
      <c r="C56" s="3702"/>
      <c r="D56" s="3702"/>
      <c r="E56" s="3702"/>
      <c r="F56" s="3702"/>
      <c r="G56" s="3702"/>
      <c r="H56" s="3703"/>
      <c r="I56" s="106">
        <f>J56+L56</f>
        <v>0</v>
      </c>
      <c r="J56" s="107">
        <f>J45</f>
        <v>0</v>
      </c>
      <c r="K56" s="107">
        <f t="shared" ref="K56:L56" si="60">K45</f>
        <v>0</v>
      </c>
      <c r="L56" s="108">
        <f t="shared" si="60"/>
        <v>0</v>
      </c>
      <c r="M56" s="106">
        <f>N56+P56</f>
        <v>0</v>
      </c>
      <c r="N56" s="107">
        <f>N45</f>
        <v>0</v>
      </c>
      <c r="O56" s="107">
        <f t="shared" ref="O56:P56" si="61">O45</f>
        <v>0</v>
      </c>
      <c r="P56" s="109">
        <f t="shared" si="61"/>
        <v>0</v>
      </c>
      <c r="Q56" s="220">
        <f>R56+T56</f>
        <v>0</v>
      </c>
      <c r="R56" s="107">
        <f>R45</f>
        <v>0</v>
      </c>
      <c r="S56" s="107">
        <f t="shared" ref="S56:T56" si="62">S45</f>
        <v>0</v>
      </c>
      <c r="T56" s="108">
        <f t="shared" si="62"/>
        <v>0</v>
      </c>
      <c r="U56" s="106">
        <f>V56+X56</f>
        <v>841</v>
      </c>
      <c r="V56" s="107">
        <f>V45</f>
        <v>0</v>
      </c>
      <c r="W56" s="107">
        <f t="shared" ref="W56:X56" si="63">W45</f>
        <v>0</v>
      </c>
      <c r="X56" s="109">
        <f t="shared" si="63"/>
        <v>841</v>
      </c>
    </row>
    <row r="57" spans="1:24" x14ac:dyDescent="0.2">
      <c r="A57" s="3704" t="s">
        <v>219</v>
      </c>
      <c r="B57" s="3705"/>
      <c r="C57" s="3705"/>
      <c r="D57" s="3705"/>
      <c r="E57" s="3705"/>
      <c r="F57" s="3705"/>
      <c r="G57" s="3705"/>
      <c r="H57" s="3705"/>
      <c r="I57" s="106">
        <f>J57+L57</f>
        <v>0</v>
      </c>
      <c r="J57" s="107">
        <f>J44</f>
        <v>0</v>
      </c>
      <c r="K57" s="107">
        <f t="shared" ref="K57:L57" si="64">K44</f>
        <v>0</v>
      </c>
      <c r="L57" s="108">
        <f t="shared" si="64"/>
        <v>0</v>
      </c>
      <c r="M57" s="106">
        <f>N57+P57</f>
        <v>0</v>
      </c>
      <c r="N57" s="107">
        <f>N44</f>
        <v>0</v>
      </c>
      <c r="O57" s="107">
        <f t="shared" ref="O57:P57" si="65">O44</f>
        <v>0</v>
      </c>
      <c r="P57" s="109">
        <f t="shared" si="65"/>
        <v>0</v>
      </c>
      <c r="Q57" s="220">
        <f>R57+T57</f>
        <v>0</v>
      </c>
      <c r="R57" s="107">
        <f>R44</f>
        <v>0</v>
      </c>
      <c r="S57" s="107">
        <f t="shared" ref="S57:T57" si="66">S44</f>
        <v>0</v>
      </c>
      <c r="T57" s="108">
        <f t="shared" si="66"/>
        <v>0</v>
      </c>
      <c r="U57" s="106">
        <f>V57+X57</f>
        <v>0</v>
      </c>
      <c r="V57" s="107">
        <f>V44</f>
        <v>0</v>
      </c>
      <c r="W57" s="107">
        <f t="shared" ref="W57:X57" si="67">W44</f>
        <v>0</v>
      </c>
      <c r="X57" s="109">
        <f t="shared" si="67"/>
        <v>0</v>
      </c>
    </row>
    <row r="58" spans="1:24" ht="13.5" thickBot="1" x14ac:dyDescent="0.25">
      <c r="A58" s="3696" t="s">
        <v>968</v>
      </c>
      <c r="B58" s="3697"/>
      <c r="C58" s="3697"/>
      <c r="D58" s="3697"/>
      <c r="E58" s="3697"/>
      <c r="F58" s="3697"/>
      <c r="G58" s="3697"/>
      <c r="H58" s="3697"/>
      <c r="I58" s="116">
        <f>J58+L58</f>
        <v>0</v>
      </c>
      <c r="J58" s="114">
        <f>SUM(J13)</f>
        <v>0</v>
      </c>
      <c r="K58" s="114">
        <f t="shared" ref="K58:L58" si="68">SUM(K13)</f>
        <v>0</v>
      </c>
      <c r="L58" s="1064">
        <f t="shared" si="68"/>
        <v>0</v>
      </c>
      <c r="M58" s="116">
        <f>N58+P58</f>
        <v>4</v>
      </c>
      <c r="N58" s="114">
        <f>SUM(N13)</f>
        <v>4</v>
      </c>
      <c r="O58" s="114">
        <f t="shared" ref="O58:P58" si="69">SUM(O13)</f>
        <v>4</v>
      </c>
      <c r="P58" s="115">
        <f t="shared" si="69"/>
        <v>0</v>
      </c>
      <c r="Q58" s="1066">
        <f>R58+T58</f>
        <v>4</v>
      </c>
      <c r="R58" s="114">
        <f>SUM(R13)</f>
        <v>4</v>
      </c>
      <c r="S58" s="114">
        <f t="shared" ref="S58:T58" si="70">SUM(S13)</f>
        <v>4</v>
      </c>
      <c r="T58" s="1064">
        <f t="shared" si="70"/>
        <v>0</v>
      </c>
      <c r="U58" s="116">
        <f>V58+X58</f>
        <v>4</v>
      </c>
      <c r="V58" s="114">
        <f>SUM(V13)</f>
        <v>4</v>
      </c>
      <c r="W58" s="114">
        <f t="shared" ref="W58:X58" si="71">SUM(W13)</f>
        <v>4</v>
      </c>
      <c r="X58" s="115">
        <f t="shared" si="71"/>
        <v>0</v>
      </c>
    </row>
    <row r="59" spans="1:24" ht="13.5" thickBot="1" x14ac:dyDescent="0.25">
      <c r="A59" s="3714" t="s">
        <v>222</v>
      </c>
      <c r="B59" s="3714"/>
      <c r="C59" s="3714"/>
      <c r="D59" s="3714"/>
      <c r="E59" s="3714"/>
      <c r="F59" s="3714"/>
      <c r="G59" s="3714"/>
      <c r="H59" s="3714"/>
      <c r="I59" s="117">
        <f>L59+J59</f>
        <v>2680.8</v>
      </c>
      <c r="J59" s="118">
        <f>SUM(J50:J58)</f>
        <v>1879.3</v>
      </c>
      <c r="K59" s="118">
        <f t="shared" ref="K59:L59" si="72">SUM(K50:K58)</f>
        <v>813.69999999999993</v>
      </c>
      <c r="L59" s="118">
        <f t="shared" si="72"/>
        <v>801.50000000000011</v>
      </c>
      <c r="M59" s="117">
        <f>P59+N59</f>
        <v>3603.4</v>
      </c>
      <c r="N59" s="118">
        <f>SUM(N50:N58)</f>
        <v>2142.4</v>
      </c>
      <c r="O59" s="118">
        <f t="shared" ref="O59" si="73">SUM(O50:O58)</f>
        <v>935.2</v>
      </c>
      <c r="P59" s="118">
        <f t="shared" ref="P59" si="74">SUM(P50:P58)</f>
        <v>1461</v>
      </c>
      <c r="Q59" s="117">
        <f>T59+R59</f>
        <v>5143.3999999999996</v>
      </c>
      <c r="R59" s="118">
        <f>SUM(R50:R58)</f>
        <v>2143.4</v>
      </c>
      <c r="S59" s="118">
        <f t="shared" ref="S59" si="75">SUM(S50:S58)</f>
        <v>946.2</v>
      </c>
      <c r="T59" s="1067">
        <f t="shared" ref="T59" si="76">SUM(T50:T58)</f>
        <v>3000</v>
      </c>
      <c r="U59" s="117">
        <f>X59+V59</f>
        <v>8196.4</v>
      </c>
      <c r="V59" s="118">
        <f>SUM(V50:V58)</f>
        <v>2155.4</v>
      </c>
      <c r="W59" s="118">
        <f t="shared" ref="W59" si="77">SUM(W50:W58)</f>
        <v>958.2</v>
      </c>
      <c r="X59" s="119">
        <f t="shared" ref="X59" si="78">SUM(X50:X58)</f>
        <v>6041</v>
      </c>
    </row>
    <row r="61" spans="1:24" x14ac:dyDescent="0.2">
      <c r="I61" s="157">
        <f>I49-I59</f>
        <v>0</v>
      </c>
      <c r="J61" s="157">
        <f t="shared" ref="J61:X61" si="79">J49-J59</f>
        <v>0</v>
      </c>
      <c r="K61" s="157">
        <f t="shared" si="79"/>
        <v>0</v>
      </c>
      <c r="L61" s="157">
        <f t="shared" si="79"/>
        <v>0</v>
      </c>
      <c r="M61" s="157">
        <f t="shared" si="79"/>
        <v>0</v>
      </c>
      <c r="N61" s="157">
        <f t="shared" si="79"/>
        <v>0</v>
      </c>
      <c r="O61" s="157">
        <f t="shared" si="79"/>
        <v>0</v>
      </c>
      <c r="P61" s="157">
        <f t="shared" si="79"/>
        <v>0</v>
      </c>
      <c r="Q61" s="157">
        <f t="shared" si="79"/>
        <v>0</v>
      </c>
      <c r="R61" s="157">
        <f t="shared" si="79"/>
        <v>0</v>
      </c>
      <c r="S61" s="157">
        <f t="shared" si="79"/>
        <v>0</v>
      </c>
      <c r="T61" s="157">
        <f t="shared" si="79"/>
        <v>0</v>
      </c>
      <c r="U61" s="157">
        <f t="shared" si="79"/>
        <v>0</v>
      </c>
      <c r="V61" s="157">
        <f t="shared" si="79"/>
        <v>0</v>
      </c>
      <c r="W61" s="157">
        <f t="shared" si="79"/>
        <v>0</v>
      </c>
      <c r="X61" s="157">
        <f t="shared" si="79"/>
        <v>0</v>
      </c>
    </row>
  </sheetData>
  <mergeCells count="116">
    <mergeCell ref="U1:X1"/>
    <mergeCell ref="A2:X2"/>
    <mergeCell ref="A3:X3"/>
    <mergeCell ref="A4:A7"/>
    <mergeCell ref="B4:B7"/>
    <mergeCell ref="C4:C7"/>
    <mergeCell ref="D4:D7"/>
    <mergeCell ref="E4:E7"/>
    <mergeCell ref="F4:F7"/>
    <mergeCell ref="G4:G7"/>
    <mergeCell ref="R5:T5"/>
    <mergeCell ref="U5:U7"/>
    <mergeCell ref="V5:X5"/>
    <mergeCell ref="J6:K6"/>
    <mergeCell ref="L6:L7"/>
    <mergeCell ref="N6:O6"/>
    <mergeCell ref="P6:P7"/>
    <mergeCell ref="R6:S6"/>
    <mergeCell ref="T6:T7"/>
    <mergeCell ref="V6:W6"/>
    <mergeCell ref="J5:L5"/>
    <mergeCell ref="M5:M7"/>
    <mergeCell ref="N5:P5"/>
    <mergeCell ref="Q5:Q7"/>
    <mergeCell ref="X6:X7"/>
    <mergeCell ref="A8:X8"/>
    <mergeCell ref="A9:X9"/>
    <mergeCell ref="B10:X10"/>
    <mergeCell ref="C11:X11"/>
    <mergeCell ref="A12:A15"/>
    <mergeCell ref="B12:B15"/>
    <mergeCell ref="C12:C15"/>
    <mergeCell ref="D12:D15"/>
    <mergeCell ref="E12:E15"/>
    <mergeCell ref="H4:H7"/>
    <mergeCell ref="I4:L4"/>
    <mergeCell ref="M4:P4"/>
    <mergeCell ref="Q4:T4"/>
    <mergeCell ref="U4:X4"/>
    <mergeCell ref="I5:I7"/>
    <mergeCell ref="F12:F14"/>
    <mergeCell ref="G12:G14"/>
    <mergeCell ref="F15:H15"/>
    <mergeCell ref="C16:H16"/>
    <mergeCell ref="C17:X17"/>
    <mergeCell ref="A18:A20"/>
    <mergeCell ref="B18:B20"/>
    <mergeCell ref="C18:C20"/>
    <mergeCell ref="D18:D20"/>
    <mergeCell ref="E18:E20"/>
    <mergeCell ref="F23:H23"/>
    <mergeCell ref="A24:A26"/>
    <mergeCell ref="B24:B26"/>
    <mergeCell ref="C24:C26"/>
    <mergeCell ref="D24:D26"/>
    <mergeCell ref="E24:E26"/>
    <mergeCell ref="F26:H26"/>
    <mergeCell ref="F18:F19"/>
    <mergeCell ref="G18:G19"/>
    <mergeCell ref="F20:H20"/>
    <mergeCell ref="A21:A23"/>
    <mergeCell ref="B21:B23"/>
    <mergeCell ref="C21:C23"/>
    <mergeCell ref="D21:D23"/>
    <mergeCell ref="E21:E23"/>
    <mergeCell ref="F21:F22"/>
    <mergeCell ref="G21:G22"/>
    <mergeCell ref="C29:H29"/>
    <mergeCell ref="B30:H30"/>
    <mergeCell ref="B31:X31"/>
    <mergeCell ref="C32:X32"/>
    <mergeCell ref="A33:A35"/>
    <mergeCell ref="B33:B35"/>
    <mergeCell ref="C33:C35"/>
    <mergeCell ref="D33:D35"/>
    <mergeCell ref="E33:E35"/>
    <mergeCell ref="F33:F34"/>
    <mergeCell ref="A59:H59"/>
    <mergeCell ref="B47:H47"/>
    <mergeCell ref="A48:H48"/>
    <mergeCell ref="B49:H49"/>
    <mergeCell ref="A50:H50"/>
    <mergeCell ref="A51:H51"/>
    <mergeCell ref="A52:H52"/>
    <mergeCell ref="A42:A46"/>
    <mergeCell ref="B42:B46"/>
    <mergeCell ref="C42:C46"/>
    <mergeCell ref="D42:D46"/>
    <mergeCell ref="F42:F45"/>
    <mergeCell ref="G42:G45"/>
    <mergeCell ref="E43:E45"/>
    <mergeCell ref="F46:H46"/>
    <mergeCell ref="A27:A28"/>
    <mergeCell ref="B27:B28"/>
    <mergeCell ref="C27:C28"/>
    <mergeCell ref="D27:D28"/>
    <mergeCell ref="E27:E28"/>
    <mergeCell ref="F28:H28"/>
    <mergeCell ref="A58:H58"/>
    <mergeCell ref="G24:G25"/>
    <mergeCell ref="F24:F25"/>
    <mergeCell ref="A53:H53"/>
    <mergeCell ref="A54:H54"/>
    <mergeCell ref="A55:H55"/>
    <mergeCell ref="A56:H56"/>
    <mergeCell ref="A57:H57"/>
    <mergeCell ref="G33:G34"/>
    <mergeCell ref="F35:H35"/>
    <mergeCell ref="A36:A41"/>
    <mergeCell ref="B36:B41"/>
    <mergeCell ref="C36:C41"/>
    <mergeCell ref="D36:D41"/>
    <mergeCell ref="F36:F40"/>
    <mergeCell ref="G36:G40"/>
    <mergeCell ref="E37:E40"/>
    <mergeCell ref="F41:H4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9"/>
  <sheetViews>
    <sheetView showZeros="0" topLeftCell="A307" zoomScaleNormal="100" zoomScaleSheetLayoutView="100" workbookViewId="0">
      <selection activeCell="V343" sqref="V343"/>
    </sheetView>
  </sheetViews>
  <sheetFormatPr defaultColWidth="9.140625" defaultRowHeight="11.25" x14ac:dyDescent="0.2"/>
  <cols>
    <col min="1" max="1" width="2.85546875" style="1510" customWidth="1"/>
    <col min="2" max="2" width="2.140625" style="1510" customWidth="1"/>
    <col min="3" max="3" width="2.5703125" style="1510" customWidth="1"/>
    <col min="4" max="4" width="23.5703125" style="634" customWidth="1"/>
    <col min="5" max="5" width="4.140625" style="339" customWidth="1"/>
    <col min="6" max="6" width="10" style="1542" customWidth="1"/>
    <col min="7" max="7" width="9.42578125" style="1542" customWidth="1"/>
    <col min="8" max="8" width="6.42578125" style="1511" customWidth="1"/>
    <col min="9" max="9" width="7.85546875" style="1230" customWidth="1"/>
    <col min="10" max="10" width="8.140625" style="1230" customWidth="1"/>
    <col min="11" max="11" width="7.140625" style="1230" customWidth="1"/>
    <col min="12" max="12" width="9.42578125" style="1230" customWidth="1"/>
    <col min="13" max="13" width="7.85546875" style="1230" customWidth="1"/>
    <col min="14" max="14" width="8.140625" style="1230" customWidth="1"/>
    <col min="15" max="16" width="7.85546875" style="1230" customWidth="1"/>
    <col min="17" max="17" width="7.140625" style="1230" customWidth="1"/>
    <col min="18" max="18" width="7.85546875" style="1230" customWidth="1"/>
    <col min="19" max="21" width="7.140625" style="1230" customWidth="1"/>
    <col min="22" max="23" width="7.85546875" style="1230" customWidth="1"/>
    <col min="24" max="24" width="8.85546875" style="1230" customWidth="1"/>
    <col min="25" max="16384" width="9.140625" style="339"/>
  </cols>
  <sheetData>
    <row r="1" spans="1:25" ht="43.35" customHeight="1" x14ac:dyDescent="0.2">
      <c r="A1" s="2314"/>
      <c r="B1" s="3758"/>
      <c r="C1" s="3759"/>
      <c r="D1" s="3759"/>
      <c r="E1" s="644"/>
      <c r="F1" s="642"/>
      <c r="G1" s="642"/>
      <c r="H1" s="2315"/>
      <c r="I1" s="2316"/>
      <c r="J1" s="2316"/>
      <c r="K1" s="2316"/>
      <c r="L1" s="2316"/>
      <c r="M1" s="2316"/>
      <c r="N1" s="2316"/>
      <c r="O1" s="2316"/>
      <c r="P1" s="2316"/>
      <c r="Q1" s="2316"/>
      <c r="R1" s="2316"/>
      <c r="S1" s="2316"/>
      <c r="T1" s="3274" t="s">
        <v>0</v>
      </c>
      <c r="U1" s="3274"/>
      <c r="V1" s="3274"/>
      <c r="W1" s="3274"/>
      <c r="X1" s="3275"/>
    </row>
    <row r="2" spans="1:25" ht="31.5" customHeight="1" x14ac:dyDescent="0.25">
      <c r="A2" s="2678" t="s">
        <v>969</v>
      </c>
      <c r="B2" s="2679"/>
      <c r="C2" s="2679"/>
      <c r="D2" s="2679"/>
      <c r="E2" s="2679"/>
      <c r="F2" s="2679"/>
      <c r="G2" s="2679"/>
      <c r="H2" s="2679"/>
      <c r="I2" s="2679"/>
      <c r="J2" s="2679"/>
      <c r="K2" s="2679"/>
      <c r="L2" s="2679"/>
      <c r="M2" s="2679"/>
      <c r="N2" s="2679"/>
      <c r="O2" s="2679"/>
      <c r="P2" s="2679"/>
      <c r="Q2" s="2679"/>
      <c r="R2" s="2679"/>
      <c r="S2" s="2679"/>
      <c r="T2" s="2679"/>
      <c r="U2" s="2679"/>
      <c r="V2" s="2679"/>
      <c r="W2" s="2679"/>
      <c r="X2" s="2680"/>
    </row>
    <row r="3" spans="1:25" ht="12" thickBot="1" x14ac:dyDescent="0.25">
      <c r="A3" s="3760" t="s">
        <v>970</v>
      </c>
      <c r="B3" s="2681"/>
      <c r="C3" s="2681"/>
      <c r="D3" s="2681"/>
      <c r="E3" s="2681"/>
      <c r="F3" s="2681"/>
      <c r="G3" s="2681"/>
      <c r="H3" s="2681"/>
      <c r="I3" s="2681"/>
      <c r="J3" s="2681"/>
      <c r="K3" s="2681"/>
      <c r="L3" s="2681"/>
      <c r="M3" s="2681"/>
      <c r="N3" s="2681"/>
      <c r="O3" s="2681"/>
      <c r="P3" s="2681"/>
      <c r="Q3" s="2681"/>
      <c r="R3" s="2681"/>
      <c r="S3" s="2681"/>
      <c r="T3" s="2681"/>
      <c r="U3" s="2681"/>
      <c r="V3" s="2681"/>
      <c r="W3" s="2681"/>
      <c r="X3" s="3761"/>
    </row>
    <row r="4" spans="1:25" ht="11.25" customHeight="1" x14ac:dyDescent="0.2">
      <c r="A4" s="3762" t="s">
        <v>3</v>
      </c>
      <c r="B4" s="3762" t="s">
        <v>4</v>
      </c>
      <c r="C4" s="3762" t="s">
        <v>5</v>
      </c>
      <c r="D4" s="3764" t="s">
        <v>6</v>
      </c>
      <c r="E4" s="3767" t="s">
        <v>971</v>
      </c>
      <c r="F4" s="3767" t="s">
        <v>8</v>
      </c>
      <c r="G4" s="3762" t="s">
        <v>9</v>
      </c>
      <c r="H4" s="3767" t="s">
        <v>10</v>
      </c>
      <c r="I4" s="3784" t="s">
        <v>11</v>
      </c>
      <c r="J4" s="3785"/>
      <c r="K4" s="3785"/>
      <c r="L4" s="3786"/>
      <c r="M4" s="3784" t="s">
        <v>12</v>
      </c>
      <c r="N4" s="3785"/>
      <c r="O4" s="3785"/>
      <c r="P4" s="3786"/>
      <c r="Q4" s="3784" t="s">
        <v>13</v>
      </c>
      <c r="R4" s="3785"/>
      <c r="S4" s="3785"/>
      <c r="T4" s="3786"/>
      <c r="U4" s="3784" t="s">
        <v>14</v>
      </c>
      <c r="V4" s="3785"/>
      <c r="W4" s="3785"/>
      <c r="X4" s="3786"/>
    </row>
    <row r="5" spans="1:25" ht="11.25" customHeight="1" x14ac:dyDescent="0.2">
      <c r="A5" s="3763"/>
      <c r="B5" s="3763"/>
      <c r="C5" s="3763"/>
      <c r="D5" s="3765"/>
      <c r="E5" s="3768"/>
      <c r="F5" s="3768"/>
      <c r="G5" s="3763"/>
      <c r="H5" s="3768"/>
      <c r="I5" s="3780" t="s">
        <v>15</v>
      </c>
      <c r="J5" s="3772" t="s">
        <v>16</v>
      </c>
      <c r="K5" s="3772"/>
      <c r="L5" s="3782"/>
      <c r="M5" s="3780" t="s">
        <v>15</v>
      </c>
      <c r="N5" s="3772" t="s">
        <v>16</v>
      </c>
      <c r="O5" s="3772"/>
      <c r="P5" s="3782"/>
      <c r="Q5" s="3780" t="s">
        <v>15</v>
      </c>
      <c r="R5" s="3772" t="s">
        <v>16</v>
      </c>
      <c r="S5" s="3772"/>
      <c r="T5" s="3782"/>
      <c r="U5" s="3780" t="s">
        <v>15</v>
      </c>
      <c r="V5" s="3772" t="s">
        <v>16</v>
      </c>
      <c r="W5" s="3772"/>
      <c r="X5" s="3782"/>
    </row>
    <row r="6" spans="1:25" ht="12.75" customHeight="1" x14ac:dyDescent="0.2">
      <c r="A6" s="3763"/>
      <c r="B6" s="3763"/>
      <c r="C6" s="3763"/>
      <c r="D6" s="3765"/>
      <c r="E6" s="3769"/>
      <c r="F6" s="3768"/>
      <c r="G6" s="3763"/>
      <c r="H6" s="3768"/>
      <c r="I6" s="3780"/>
      <c r="J6" s="3772" t="s">
        <v>17</v>
      </c>
      <c r="K6" s="3772"/>
      <c r="L6" s="3773" t="s">
        <v>18</v>
      </c>
      <c r="M6" s="3780"/>
      <c r="N6" s="3772" t="s">
        <v>17</v>
      </c>
      <c r="O6" s="3772"/>
      <c r="P6" s="3773" t="s">
        <v>18</v>
      </c>
      <c r="Q6" s="3780"/>
      <c r="R6" s="3772" t="s">
        <v>17</v>
      </c>
      <c r="S6" s="3772"/>
      <c r="T6" s="3773" t="s">
        <v>18</v>
      </c>
      <c r="U6" s="3780"/>
      <c r="V6" s="3772" t="s">
        <v>17</v>
      </c>
      <c r="W6" s="3772"/>
      <c r="X6" s="3773" t="s">
        <v>18</v>
      </c>
    </row>
    <row r="7" spans="1:25" ht="54" customHeight="1" thickBot="1" x14ac:dyDescent="0.25">
      <c r="A7" s="3763"/>
      <c r="B7" s="3763"/>
      <c r="C7" s="3763"/>
      <c r="D7" s="3766"/>
      <c r="E7" s="3770"/>
      <c r="F7" s="3771"/>
      <c r="G7" s="3783"/>
      <c r="H7" s="3771"/>
      <c r="I7" s="3781"/>
      <c r="J7" s="1231" t="s">
        <v>15</v>
      </c>
      <c r="K7" s="1232" t="s">
        <v>19</v>
      </c>
      <c r="L7" s="3774"/>
      <c r="M7" s="3781"/>
      <c r="N7" s="1231" t="s">
        <v>15</v>
      </c>
      <c r="O7" s="1232" t="s">
        <v>19</v>
      </c>
      <c r="P7" s="3774"/>
      <c r="Q7" s="3781"/>
      <c r="R7" s="1231" t="s">
        <v>15</v>
      </c>
      <c r="S7" s="1232" t="s">
        <v>19</v>
      </c>
      <c r="T7" s="3774"/>
      <c r="U7" s="3781"/>
      <c r="V7" s="1231" t="s">
        <v>15</v>
      </c>
      <c r="W7" s="1232" t="s">
        <v>19</v>
      </c>
      <c r="X7" s="3774"/>
    </row>
    <row r="8" spans="1:25" ht="12" thickBot="1" x14ac:dyDescent="0.25">
      <c r="A8" s="3775" t="s">
        <v>972</v>
      </c>
      <c r="B8" s="3775"/>
      <c r="C8" s="3775"/>
      <c r="D8" s="3775"/>
      <c r="E8" s="3775"/>
      <c r="F8" s="3775"/>
      <c r="G8" s="3775"/>
      <c r="H8" s="3775"/>
      <c r="I8" s="3775"/>
      <c r="J8" s="3775"/>
      <c r="K8" s="3775"/>
      <c r="L8" s="3775"/>
      <c r="M8" s="3775"/>
      <c r="N8" s="3775"/>
      <c r="O8" s="3775"/>
      <c r="P8" s="3775"/>
      <c r="Q8" s="3775"/>
      <c r="R8" s="3775"/>
      <c r="S8" s="3775"/>
      <c r="T8" s="3775"/>
      <c r="U8" s="3775"/>
      <c r="V8" s="3775"/>
      <c r="W8" s="3775"/>
      <c r="X8" s="3775"/>
    </row>
    <row r="9" spans="1:25" ht="12" thickBot="1" x14ac:dyDescent="0.25">
      <c r="A9" s="3776" t="s">
        <v>973</v>
      </c>
      <c r="B9" s="3776"/>
      <c r="C9" s="3776"/>
      <c r="D9" s="3776"/>
      <c r="E9" s="3776"/>
      <c r="F9" s="3776"/>
      <c r="G9" s="3776"/>
      <c r="H9" s="3776"/>
      <c r="I9" s="3776"/>
      <c r="J9" s="3776"/>
      <c r="K9" s="3776"/>
      <c r="L9" s="3776"/>
      <c r="M9" s="3776"/>
      <c r="N9" s="3776"/>
      <c r="O9" s="3776"/>
      <c r="P9" s="3776"/>
      <c r="Q9" s="3776"/>
      <c r="R9" s="3776"/>
      <c r="S9" s="3776"/>
      <c r="T9" s="3776"/>
      <c r="U9" s="3776"/>
      <c r="V9" s="3776"/>
      <c r="W9" s="3776"/>
      <c r="X9" s="3776"/>
    </row>
    <row r="10" spans="1:25" ht="12" thickBot="1" x14ac:dyDescent="0.25">
      <c r="A10" s="1068">
        <v>1</v>
      </c>
      <c r="B10" s="3777" t="s">
        <v>974</v>
      </c>
      <c r="C10" s="3777"/>
      <c r="D10" s="3777"/>
      <c r="E10" s="3777"/>
      <c r="F10" s="3777"/>
      <c r="G10" s="3777"/>
      <c r="H10" s="3777"/>
      <c r="I10" s="3777"/>
      <c r="J10" s="3777"/>
      <c r="K10" s="3777"/>
      <c r="L10" s="3777"/>
      <c r="M10" s="3777"/>
      <c r="N10" s="3777"/>
      <c r="O10" s="3777"/>
      <c r="P10" s="3777"/>
      <c r="Q10" s="3777"/>
      <c r="R10" s="3777"/>
      <c r="S10" s="3777"/>
      <c r="T10" s="3777"/>
      <c r="U10" s="3777"/>
      <c r="V10" s="3777"/>
      <c r="W10" s="3777"/>
      <c r="X10" s="3777"/>
    </row>
    <row r="11" spans="1:25" ht="12" thickBot="1" x14ac:dyDescent="0.25">
      <c r="A11" s="607">
        <v>1</v>
      </c>
      <c r="B11" s="1233">
        <v>1</v>
      </c>
      <c r="C11" s="3778" t="s">
        <v>975</v>
      </c>
      <c r="D11" s="3779"/>
      <c r="E11" s="3778"/>
      <c r="F11" s="3779"/>
      <c r="G11" s="3779"/>
      <c r="H11" s="3779"/>
      <c r="I11" s="3779"/>
      <c r="J11" s="3779"/>
      <c r="K11" s="3779"/>
      <c r="L11" s="3779"/>
      <c r="M11" s="3779"/>
      <c r="N11" s="3779"/>
      <c r="O11" s="3779"/>
      <c r="P11" s="3779"/>
      <c r="Q11" s="3779"/>
      <c r="R11" s="3779"/>
      <c r="S11" s="3779"/>
      <c r="T11" s="3779"/>
      <c r="U11" s="3779"/>
      <c r="V11" s="3779"/>
      <c r="W11" s="3779"/>
      <c r="X11" s="3779"/>
    </row>
    <row r="12" spans="1:25" ht="16.5" customHeight="1" x14ac:dyDescent="0.2">
      <c r="A12" s="3791">
        <v>1</v>
      </c>
      <c r="B12" s="3793">
        <v>1</v>
      </c>
      <c r="C12" s="3795">
        <v>1</v>
      </c>
      <c r="D12" s="1234" t="s">
        <v>976</v>
      </c>
      <c r="E12" s="3795">
        <v>6</v>
      </c>
      <c r="F12" s="3806" t="s">
        <v>977</v>
      </c>
      <c r="G12" s="3806" t="s">
        <v>978</v>
      </c>
      <c r="H12" s="3787" t="s">
        <v>30</v>
      </c>
      <c r="I12" s="1235">
        <f t="shared" ref="I12:I33" si="0">SUM(J12+L12)</f>
        <v>0</v>
      </c>
      <c r="J12" s="718"/>
      <c r="K12" s="718"/>
      <c r="L12" s="720"/>
      <c r="M12" s="1235">
        <f>SUM(N12+P12)</f>
        <v>0</v>
      </c>
      <c r="N12" s="718"/>
      <c r="O12" s="718"/>
      <c r="P12" s="720"/>
      <c r="Q12" s="1235">
        <f>SUM(R12+T12)</f>
        <v>0</v>
      </c>
      <c r="R12" s="718"/>
      <c r="S12" s="718"/>
      <c r="T12" s="720"/>
      <c r="U12" s="1235">
        <f>SUM(V12+X12)</f>
        <v>0</v>
      </c>
      <c r="V12" s="718"/>
      <c r="W12" s="718"/>
      <c r="X12" s="1236"/>
      <c r="Y12" s="354"/>
    </row>
    <row r="13" spans="1:25" ht="16.5" customHeight="1" x14ac:dyDescent="0.2">
      <c r="A13" s="3791"/>
      <c r="B13" s="3793"/>
      <c r="C13" s="3795"/>
      <c r="D13" s="1237" t="s">
        <v>979</v>
      </c>
      <c r="E13" s="3795"/>
      <c r="F13" s="3806"/>
      <c r="G13" s="3806"/>
      <c r="H13" s="3787"/>
      <c r="I13" s="1238">
        <f t="shared" si="0"/>
        <v>214.7</v>
      </c>
      <c r="J13" s="726">
        <v>214.7</v>
      </c>
      <c r="K13" s="726">
        <v>119.6</v>
      </c>
      <c r="L13" s="727"/>
      <c r="M13" s="1238">
        <f t="shared" ref="M13:M14" si="1">SUM(N13+P13)</f>
        <v>238.9</v>
      </c>
      <c r="N13" s="726">
        <v>238.9</v>
      </c>
      <c r="O13" s="726">
        <v>128.5</v>
      </c>
      <c r="P13" s="727"/>
      <c r="Q13" s="1238">
        <f t="shared" ref="Q13:Q14" si="2">SUM(R13+T13)</f>
        <v>238.9</v>
      </c>
      <c r="R13" s="726">
        <v>238.9</v>
      </c>
      <c r="S13" s="726">
        <v>128.5</v>
      </c>
      <c r="T13" s="727"/>
      <c r="U13" s="1238">
        <f t="shared" ref="U13:U14" si="3">SUM(V13+X13)</f>
        <v>238.9</v>
      </c>
      <c r="V13" s="726">
        <v>238.9</v>
      </c>
      <c r="W13" s="726">
        <v>128.5</v>
      </c>
      <c r="X13" s="1239"/>
      <c r="Y13" s="354"/>
    </row>
    <row r="14" spans="1:25" ht="16.5" customHeight="1" x14ac:dyDescent="0.2">
      <c r="A14" s="3791"/>
      <c r="B14" s="3793"/>
      <c r="C14" s="3795"/>
      <c r="D14" s="1237" t="s">
        <v>980</v>
      </c>
      <c r="E14" s="3795"/>
      <c r="F14" s="3806"/>
      <c r="G14" s="3806"/>
      <c r="H14" s="3787"/>
      <c r="I14" s="1238">
        <f t="shared" si="0"/>
        <v>148.5</v>
      </c>
      <c r="J14" s="726">
        <v>148.5</v>
      </c>
      <c r="K14" s="726">
        <v>136.80000000000001</v>
      </c>
      <c r="L14" s="727"/>
      <c r="M14" s="1238">
        <f t="shared" si="1"/>
        <v>169.4</v>
      </c>
      <c r="N14" s="726">
        <v>169.4</v>
      </c>
      <c r="O14" s="726">
        <v>158.1</v>
      </c>
      <c r="P14" s="727"/>
      <c r="Q14" s="1238">
        <f t="shared" si="2"/>
        <v>169.4</v>
      </c>
      <c r="R14" s="726">
        <v>169.4</v>
      </c>
      <c r="S14" s="726">
        <v>158.1</v>
      </c>
      <c r="T14" s="727"/>
      <c r="U14" s="1238">
        <f t="shared" si="3"/>
        <v>169.4</v>
      </c>
      <c r="V14" s="726">
        <v>169.4</v>
      </c>
      <c r="W14" s="726">
        <v>158.1</v>
      </c>
      <c r="X14" s="1239"/>
      <c r="Y14" s="354"/>
    </row>
    <row r="15" spans="1:25" ht="16.5" customHeight="1" thickBot="1" x14ac:dyDescent="0.25">
      <c r="A15" s="3791"/>
      <c r="B15" s="3793"/>
      <c r="C15" s="3795"/>
      <c r="D15" s="1237" t="s">
        <v>981</v>
      </c>
      <c r="E15" s="3795"/>
      <c r="F15" s="3806"/>
      <c r="G15" s="3806"/>
      <c r="H15" s="3787"/>
      <c r="I15" s="1240">
        <f t="shared" si="0"/>
        <v>2.9</v>
      </c>
      <c r="J15" s="1241">
        <v>2.9</v>
      </c>
      <c r="K15" s="1241"/>
      <c r="L15" s="1242"/>
      <c r="M15" s="1240">
        <f>SUM(N15+P15)</f>
        <v>37.6</v>
      </c>
      <c r="N15" s="1241">
        <v>37.6</v>
      </c>
      <c r="O15" s="1241"/>
      <c r="P15" s="1242"/>
      <c r="Q15" s="1240">
        <f>SUM(R15+T15)</f>
        <v>37.6</v>
      </c>
      <c r="R15" s="1241">
        <v>37.6</v>
      </c>
      <c r="S15" s="1241"/>
      <c r="T15" s="1242"/>
      <c r="U15" s="1240">
        <f>SUM(V15+X15)</f>
        <v>37.6</v>
      </c>
      <c r="V15" s="1241">
        <v>37.6</v>
      </c>
      <c r="W15" s="1241"/>
      <c r="X15" s="1243"/>
      <c r="Y15" s="354"/>
    </row>
    <row r="16" spans="1:25" s="1245" customFormat="1" ht="20.100000000000001" customHeight="1" thickBot="1" x14ac:dyDescent="0.25">
      <c r="A16" s="3792"/>
      <c r="B16" s="3794"/>
      <c r="C16" s="3796"/>
      <c r="D16" s="1237"/>
      <c r="E16" s="3796"/>
      <c r="F16" s="3788" t="s">
        <v>35</v>
      </c>
      <c r="G16" s="3789"/>
      <c r="H16" s="3790"/>
      <c r="I16" s="92">
        <f t="shared" si="0"/>
        <v>366.09999999999997</v>
      </c>
      <c r="J16" s="84">
        <f>SUM(J12:J15)</f>
        <v>366.09999999999997</v>
      </c>
      <c r="K16" s="84">
        <f>SUM(K12:K15)</f>
        <v>256.39999999999998</v>
      </c>
      <c r="L16" s="90">
        <f>SUM(L12)</f>
        <v>0</v>
      </c>
      <c r="M16" s="714">
        <f>SUM(N16+P16)</f>
        <v>445.9</v>
      </c>
      <c r="N16" s="711">
        <f>SUM(N12+N15+N13+N14)</f>
        <v>445.9</v>
      </c>
      <c r="O16" s="711">
        <f>SUM(O12+O15+O13+O14)</f>
        <v>286.60000000000002</v>
      </c>
      <c r="P16" s="712">
        <f t="shared" ref="P16" si="4">SUM(P12+P15)</f>
        <v>0</v>
      </c>
      <c r="Q16" s="83">
        <f>SUM(R16+T16)</f>
        <v>445.9</v>
      </c>
      <c r="R16" s="84">
        <f>SUM(R12+R15+R13+R14)</f>
        <v>445.9</v>
      </c>
      <c r="S16" s="84">
        <f>SUM(S12+S15+S13+S14)</f>
        <v>286.60000000000002</v>
      </c>
      <c r="T16" s="84">
        <f t="shared" ref="T16" si="5">SUM(T12+T15)</f>
        <v>0</v>
      </c>
      <c r="U16" s="92">
        <f>SUM(V16+X16)</f>
        <v>445.9</v>
      </c>
      <c r="V16" s="1244">
        <f>SUM(V12+V15+V13+V14)</f>
        <v>445.9</v>
      </c>
      <c r="W16" s="1244">
        <f>SUM(W12+W15+W13+W14)</f>
        <v>286.60000000000002</v>
      </c>
      <c r="X16" s="2317">
        <f t="shared" ref="X16" si="6">SUM(X12+X15)</f>
        <v>0</v>
      </c>
      <c r="Y16" s="354"/>
    </row>
    <row r="17" spans="1:25" ht="12" customHeight="1" x14ac:dyDescent="0.2">
      <c r="A17" s="3791">
        <v>1</v>
      </c>
      <c r="B17" s="3793">
        <v>1</v>
      </c>
      <c r="C17" s="3795">
        <v>2</v>
      </c>
      <c r="D17" s="3797" t="s">
        <v>982</v>
      </c>
      <c r="E17" s="3800">
        <v>6</v>
      </c>
      <c r="F17" s="2213" t="s">
        <v>983</v>
      </c>
      <c r="G17" s="3802" t="s">
        <v>984</v>
      </c>
      <c r="H17" s="2227" t="s">
        <v>30</v>
      </c>
      <c r="I17" s="1235">
        <f t="shared" si="0"/>
        <v>2296.7000000000003</v>
      </c>
      <c r="J17" s="706">
        <v>2293.3000000000002</v>
      </c>
      <c r="K17" s="706">
        <v>1799.4</v>
      </c>
      <c r="L17" s="708">
        <v>3.4</v>
      </c>
      <c r="M17" s="1246">
        <f>SUM(N17+P17)</f>
        <v>3182.5999999999995</v>
      </c>
      <c r="N17" s="1994">
        <f>3045.2+142.2-14.8</f>
        <v>3172.5999999999995</v>
      </c>
      <c r="O17" s="1994">
        <v>2392.9</v>
      </c>
      <c r="P17" s="708">
        <v>10</v>
      </c>
      <c r="Q17" s="1235">
        <f t="shared" ref="Q17:Q39" si="7">SUM(R17+T17)</f>
        <v>3055.2</v>
      </c>
      <c r="R17" s="706">
        <v>3045.2</v>
      </c>
      <c r="S17" s="706">
        <v>2392.9</v>
      </c>
      <c r="T17" s="708">
        <v>10</v>
      </c>
      <c r="U17" s="1235">
        <f t="shared" ref="U17:U34" si="8">SUM(V17+X17)</f>
        <v>3055.2</v>
      </c>
      <c r="V17" s="726">
        <v>3045.2</v>
      </c>
      <c r="W17" s="726">
        <v>2392.9</v>
      </c>
      <c r="X17" s="727">
        <v>10</v>
      </c>
      <c r="Y17" s="354"/>
    </row>
    <row r="18" spans="1:25" ht="12" hidden="1" customHeight="1" x14ac:dyDescent="0.2">
      <c r="A18" s="3791"/>
      <c r="B18" s="3793"/>
      <c r="C18" s="3795"/>
      <c r="D18" s="3798"/>
      <c r="E18" s="3801"/>
      <c r="F18" s="2220" t="s">
        <v>983</v>
      </c>
      <c r="G18" s="3803"/>
      <c r="H18" s="2227" t="s">
        <v>30</v>
      </c>
      <c r="I18" s="1238">
        <f t="shared" si="0"/>
        <v>0</v>
      </c>
      <c r="J18" s="726"/>
      <c r="K18" s="726"/>
      <c r="L18" s="728"/>
      <c r="M18" s="1246">
        <f t="shared" ref="M18:M34" si="9">SUM(N18+P18)</f>
        <v>0</v>
      </c>
      <c r="N18" s="726"/>
      <c r="O18" s="1247"/>
      <c r="P18" s="728"/>
      <c r="Q18" s="1246">
        <f t="shared" si="7"/>
        <v>0</v>
      </c>
      <c r="R18" s="726"/>
      <c r="S18" s="726"/>
      <c r="T18" s="728"/>
      <c r="U18" s="1246">
        <f t="shared" si="8"/>
        <v>0</v>
      </c>
      <c r="V18" s="726"/>
      <c r="W18" s="726"/>
      <c r="X18" s="727"/>
      <c r="Y18" s="354"/>
    </row>
    <row r="19" spans="1:25" ht="12" hidden="1" customHeight="1" x14ac:dyDescent="0.2">
      <c r="A19" s="3791"/>
      <c r="B19" s="3793"/>
      <c r="C19" s="3795"/>
      <c r="D19" s="3798"/>
      <c r="E19" s="2204">
        <v>8</v>
      </c>
      <c r="F19" s="2220" t="s">
        <v>983</v>
      </c>
      <c r="G19" s="3803"/>
      <c r="H19" s="2227" t="s">
        <v>30</v>
      </c>
      <c r="I19" s="1238">
        <f t="shared" si="0"/>
        <v>0</v>
      </c>
      <c r="J19" s="726"/>
      <c r="K19" s="726"/>
      <c r="L19" s="728"/>
      <c r="M19" s="1246">
        <f t="shared" si="9"/>
        <v>0</v>
      </c>
      <c r="N19" s="726"/>
      <c r="O19" s="726"/>
      <c r="P19" s="728"/>
      <c r="Q19" s="1246">
        <f t="shared" si="7"/>
        <v>0</v>
      </c>
      <c r="R19" s="726"/>
      <c r="S19" s="726"/>
      <c r="T19" s="728"/>
      <c r="U19" s="1246">
        <f t="shared" si="8"/>
        <v>0</v>
      </c>
      <c r="V19" s="726"/>
      <c r="W19" s="726"/>
      <c r="X19" s="727"/>
      <c r="Y19" s="354"/>
    </row>
    <row r="20" spans="1:25" ht="12" customHeight="1" x14ac:dyDescent="0.2">
      <c r="A20" s="3791"/>
      <c r="B20" s="3793"/>
      <c r="C20" s="3795"/>
      <c r="D20" s="3798"/>
      <c r="E20" s="2204">
        <v>3</v>
      </c>
      <c r="F20" s="2220" t="s">
        <v>983</v>
      </c>
      <c r="G20" s="3803"/>
      <c r="H20" s="2227" t="s">
        <v>30</v>
      </c>
      <c r="I20" s="1238">
        <f t="shared" si="0"/>
        <v>193.6</v>
      </c>
      <c r="J20" s="726"/>
      <c r="K20" s="726"/>
      <c r="L20" s="728">
        <v>193.6</v>
      </c>
      <c r="M20" s="1246">
        <f t="shared" si="9"/>
        <v>195</v>
      </c>
      <c r="N20" s="726"/>
      <c r="O20" s="726"/>
      <c r="P20" s="728">
        <f>95+100</f>
        <v>195</v>
      </c>
      <c r="Q20" s="1246">
        <f t="shared" si="7"/>
        <v>195</v>
      </c>
      <c r="R20" s="726"/>
      <c r="S20" s="726"/>
      <c r="T20" s="728">
        <f>95+100</f>
        <v>195</v>
      </c>
      <c r="U20" s="1246">
        <f t="shared" si="8"/>
        <v>195</v>
      </c>
      <c r="V20" s="726"/>
      <c r="W20" s="726"/>
      <c r="X20" s="727">
        <f>95+100</f>
        <v>195</v>
      </c>
      <c r="Y20" s="354"/>
    </row>
    <row r="21" spans="1:25" ht="12" customHeight="1" x14ac:dyDescent="0.2">
      <c r="A21" s="3791"/>
      <c r="B21" s="3793"/>
      <c r="C21" s="3795"/>
      <c r="D21" s="3798"/>
      <c r="E21" s="2204">
        <v>6</v>
      </c>
      <c r="F21" s="1248" t="s">
        <v>983</v>
      </c>
      <c r="G21" s="3803"/>
      <c r="H21" s="2227" t="s">
        <v>30</v>
      </c>
      <c r="I21" s="1238">
        <f t="shared" si="0"/>
        <v>0</v>
      </c>
      <c r="J21" s="726"/>
      <c r="K21" s="726"/>
      <c r="L21" s="728"/>
      <c r="M21" s="1246">
        <f t="shared" si="9"/>
        <v>0</v>
      </c>
      <c r="N21" s="726"/>
      <c r="O21" s="726"/>
      <c r="P21" s="728"/>
      <c r="Q21" s="1246">
        <f t="shared" si="7"/>
        <v>0</v>
      </c>
      <c r="R21" s="726"/>
      <c r="S21" s="726"/>
      <c r="T21" s="728"/>
      <c r="U21" s="1246">
        <f t="shared" si="8"/>
        <v>0</v>
      </c>
      <c r="V21" s="726"/>
      <c r="W21" s="726"/>
      <c r="X21" s="727"/>
      <c r="Y21" s="354"/>
    </row>
    <row r="22" spans="1:25" ht="23.25" customHeight="1" x14ac:dyDescent="0.2">
      <c r="A22" s="3791"/>
      <c r="B22" s="3793"/>
      <c r="C22" s="3795"/>
      <c r="D22" s="3798"/>
      <c r="E22" s="2224">
        <v>6</v>
      </c>
      <c r="F22" s="1248" t="s">
        <v>983</v>
      </c>
      <c r="G22" s="3803"/>
      <c r="H22" s="2201" t="s">
        <v>985</v>
      </c>
      <c r="I22" s="1238">
        <f t="shared" si="0"/>
        <v>132.19999999999999</v>
      </c>
      <c r="J22" s="726">
        <v>132.19999999999999</v>
      </c>
      <c r="K22" s="726"/>
      <c r="L22" s="728"/>
      <c r="M22" s="1246">
        <f t="shared" si="9"/>
        <v>0</v>
      </c>
      <c r="N22" s="726"/>
      <c r="O22" s="726"/>
      <c r="P22" s="728"/>
      <c r="Q22" s="1246">
        <f t="shared" si="7"/>
        <v>0</v>
      </c>
      <c r="R22" s="726"/>
      <c r="S22" s="726"/>
      <c r="T22" s="728"/>
      <c r="U22" s="1246">
        <f t="shared" si="8"/>
        <v>0</v>
      </c>
      <c r="V22" s="726"/>
      <c r="W22" s="726"/>
      <c r="X22" s="727"/>
      <c r="Y22" s="354"/>
    </row>
    <row r="23" spans="1:25" ht="12" hidden="1" customHeight="1" x14ac:dyDescent="0.2">
      <c r="A23" s="3791"/>
      <c r="B23" s="3793"/>
      <c r="C23" s="3795"/>
      <c r="D23" s="3798"/>
      <c r="E23" s="2224"/>
      <c r="F23" s="1248" t="s">
        <v>983</v>
      </c>
      <c r="G23" s="3803"/>
      <c r="H23" s="2227" t="s">
        <v>30</v>
      </c>
      <c r="I23" s="1238">
        <f t="shared" si="0"/>
        <v>0</v>
      </c>
      <c r="J23" s="726"/>
      <c r="K23" s="726"/>
      <c r="L23" s="728"/>
      <c r="M23" s="1246">
        <f t="shared" si="9"/>
        <v>0</v>
      </c>
      <c r="N23" s="726"/>
      <c r="O23" s="726"/>
      <c r="P23" s="728"/>
      <c r="Q23" s="1246">
        <f t="shared" si="7"/>
        <v>0</v>
      </c>
      <c r="R23" s="726"/>
      <c r="S23" s="726"/>
      <c r="T23" s="728"/>
      <c r="U23" s="1246">
        <f t="shared" si="8"/>
        <v>0</v>
      </c>
      <c r="V23" s="726"/>
      <c r="W23" s="726"/>
      <c r="X23" s="727"/>
      <c r="Y23" s="354"/>
    </row>
    <row r="24" spans="1:25" ht="12" customHeight="1" x14ac:dyDescent="0.2">
      <c r="A24" s="3791"/>
      <c r="B24" s="3793"/>
      <c r="C24" s="3795"/>
      <c r="D24" s="3798"/>
      <c r="E24" s="2204">
        <v>3</v>
      </c>
      <c r="F24" s="1248" t="s">
        <v>983</v>
      </c>
      <c r="G24" s="3803"/>
      <c r="H24" s="2218" t="s">
        <v>244</v>
      </c>
      <c r="I24" s="1238">
        <f t="shared" si="0"/>
        <v>0.5</v>
      </c>
      <c r="J24" s="726"/>
      <c r="K24" s="726"/>
      <c r="L24" s="728">
        <v>0.5</v>
      </c>
      <c r="M24" s="1246">
        <f>N24+P24</f>
        <v>0</v>
      </c>
      <c r="N24" s="726"/>
      <c r="O24" s="726"/>
      <c r="P24" s="728"/>
      <c r="Q24" s="1246"/>
      <c r="R24" s="726"/>
      <c r="S24" s="726"/>
      <c r="T24" s="728"/>
      <c r="U24" s="1246"/>
      <c r="V24" s="726"/>
      <c r="W24" s="726"/>
      <c r="X24" s="727"/>
      <c r="Y24" s="354"/>
    </row>
    <row r="25" spans="1:25" x14ac:dyDescent="0.2">
      <c r="A25" s="3791"/>
      <c r="B25" s="3793"/>
      <c r="C25" s="3795"/>
      <c r="D25" s="3798"/>
      <c r="E25" s="2225">
        <v>6</v>
      </c>
      <c r="F25" s="1249" t="s">
        <v>983</v>
      </c>
      <c r="G25" s="3803"/>
      <c r="H25" s="2227" t="s">
        <v>34</v>
      </c>
      <c r="I25" s="1238">
        <f t="shared" si="0"/>
        <v>1.9</v>
      </c>
      <c r="J25" s="726">
        <v>1.9</v>
      </c>
      <c r="K25" s="726"/>
      <c r="L25" s="728"/>
      <c r="M25" s="1246">
        <f t="shared" si="9"/>
        <v>1.4</v>
      </c>
      <c r="N25" s="726">
        <v>1.4</v>
      </c>
      <c r="O25" s="726"/>
      <c r="P25" s="728"/>
      <c r="Q25" s="1246">
        <f t="shared" si="7"/>
        <v>1.4</v>
      </c>
      <c r="R25" s="726">
        <v>1.4</v>
      </c>
      <c r="S25" s="726"/>
      <c r="T25" s="728"/>
      <c r="U25" s="1246">
        <f t="shared" si="8"/>
        <v>1.4</v>
      </c>
      <c r="V25" s="726">
        <v>1.4</v>
      </c>
      <c r="W25" s="726"/>
      <c r="X25" s="727"/>
      <c r="Y25" s="354"/>
    </row>
    <row r="26" spans="1:25" hidden="1" x14ac:dyDescent="0.2">
      <c r="A26" s="3791"/>
      <c r="B26" s="3793"/>
      <c r="C26" s="3795"/>
      <c r="D26" s="3798"/>
      <c r="E26" s="2204">
        <v>16</v>
      </c>
      <c r="F26" s="1249" t="s">
        <v>983</v>
      </c>
      <c r="G26" s="3803"/>
      <c r="H26" s="2227" t="s">
        <v>30</v>
      </c>
      <c r="I26" s="1238">
        <f t="shared" si="0"/>
        <v>0</v>
      </c>
      <c r="J26" s="726"/>
      <c r="K26" s="726"/>
      <c r="L26" s="728"/>
      <c r="M26" s="1246">
        <f t="shared" si="9"/>
        <v>0</v>
      </c>
      <c r="N26" s="726"/>
      <c r="O26" s="726"/>
      <c r="P26" s="728"/>
      <c r="Q26" s="1246">
        <f t="shared" si="7"/>
        <v>0</v>
      </c>
      <c r="R26" s="726"/>
      <c r="S26" s="726"/>
      <c r="T26" s="728"/>
      <c r="U26" s="1246">
        <f t="shared" si="8"/>
        <v>0</v>
      </c>
      <c r="V26" s="726"/>
      <c r="W26" s="726"/>
      <c r="X26" s="727"/>
      <c r="Y26" s="354"/>
    </row>
    <row r="27" spans="1:25" ht="11.25" customHeight="1" x14ac:dyDescent="0.2">
      <c r="A27" s="3791"/>
      <c r="B27" s="3793"/>
      <c r="C27" s="3795"/>
      <c r="D27" s="3798"/>
      <c r="E27" s="3800">
        <v>6</v>
      </c>
      <c r="F27" s="1249" t="s">
        <v>986</v>
      </c>
      <c r="G27" s="3803"/>
      <c r="H27" s="2227" t="s">
        <v>30</v>
      </c>
      <c r="I27" s="1238">
        <f t="shared" si="0"/>
        <v>742.5</v>
      </c>
      <c r="J27" s="726">
        <v>742.5</v>
      </c>
      <c r="K27" s="726">
        <v>725.9</v>
      </c>
      <c r="L27" s="728"/>
      <c r="M27" s="1246">
        <f t="shared" si="9"/>
        <v>827.9</v>
      </c>
      <c r="N27" s="726">
        <v>827.9</v>
      </c>
      <c r="O27" s="726">
        <v>810</v>
      </c>
      <c r="P27" s="728"/>
      <c r="Q27" s="1246">
        <f t="shared" si="7"/>
        <v>827.9</v>
      </c>
      <c r="R27" s="726">
        <v>827.9</v>
      </c>
      <c r="S27" s="726">
        <v>810</v>
      </c>
      <c r="T27" s="728"/>
      <c r="U27" s="1246">
        <f t="shared" si="8"/>
        <v>827.9</v>
      </c>
      <c r="V27" s="726">
        <v>827.9</v>
      </c>
      <c r="W27" s="726">
        <v>810</v>
      </c>
      <c r="X27" s="727"/>
      <c r="Y27" s="354"/>
    </row>
    <row r="28" spans="1:25" x14ac:dyDescent="0.2">
      <c r="A28" s="3791"/>
      <c r="B28" s="3793"/>
      <c r="C28" s="3795"/>
      <c r="D28" s="3798"/>
      <c r="E28" s="3805"/>
      <c r="F28" s="1249" t="s">
        <v>987</v>
      </c>
      <c r="G28" s="3803"/>
      <c r="H28" s="2227" t="s">
        <v>30</v>
      </c>
      <c r="I28" s="1238">
        <f t="shared" si="0"/>
        <v>148.69999999999999</v>
      </c>
      <c r="J28" s="726">
        <v>148.69999999999999</v>
      </c>
      <c r="K28" s="726">
        <v>146.6</v>
      </c>
      <c r="L28" s="728"/>
      <c r="M28" s="1246">
        <f t="shared" si="9"/>
        <v>170.9</v>
      </c>
      <c r="N28" s="726">
        <v>170.9</v>
      </c>
      <c r="O28" s="726">
        <v>167.4</v>
      </c>
      <c r="P28" s="728"/>
      <c r="Q28" s="1246">
        <f t="shared" si="7"/>
        <v>170.9</v>
      </c>
      <c r="R28" s="726">
        <v>170.9</v>
      </c>
      <c r="S28" s="726">
        <v>167.4</v>
      </c>
      <c r="T28" s="728"/>
      <c r="U28" s="1246">
        <f t="shared" si="8"/>
        <v>170.9</v>
      </c>
      <c r="V28" s="726">
        <v>170.9</v>
      </c>
      <c r="W28" s="726">
        <v>167.4</v>
      </c>
      <c r="X28" s="727"/>
      <c r="Y28" s="354"/>
    </row>
    <row r="29" spans="1:25" x14ac:dyDescent="0.2">
      <c r="A29" s="3791"/>
      <c r="B29" s="3793"/>
      <c r="C29" s="3795"/>
      <c r="D29" s="3798"/>
      <c r="E29" s="3805"/>
      <c r="F29" s="1249" t="s">
        <v>988</v>
      </c>
      <c r="G29" s="3803"/>
      <c r="H29" s="2227" t="s">
        <v>30</v>
      </c>
      <c r="I29" s="1238">
        <f t="shared" si="0"/>
        <v>16.100000000000001</v>
      </c>
      <c r="J29" s="726">
        <v>16.100000000000001</v>
      </c>
      <c r="K29" s="726">
        <v>15.8</v>
      </c>
      <c r="L29" s="728"/>
      <c r="M29" s="1246">
        <f t="shared" si="9"/>
        <v>22.6</v>
      </c>
      <c r="N29" s="726">
        <v>22.6</v>
      </c>
      <c r="O29" s="726">
        <v>21.7</v>
      </c>
      <c r="P29" s="728"/>
      <c r="Q29" s="1246">
        <f t="shared" si="7"/>
        <v>22.6</v>
      </c>
      <c r="R29" s="726">
        <v>22.6</v>
      </c>
      <c r="S29" s="726">
        <v>21.7</v>
      </c>
      <c r="T29" s="728"/>
      <c r="U29" s="1246">
        <f t="shared" si="8"/>
        <v>22.6</v>
      </c>
      <c r="V29" s="726">
        <v>22.6</v>
      </c>
      <c r="W29" s="726">
        <v>21.7</v>
      </c>
      <c r="X29" s="727"/>
      <c r="Y29" s="354"/>
    </row>
    <row r="30" spans="1:25" x14ac:dyDescent="0.2">
      <c r="A30" s="3791"/>
      <c r="B30" s="3793"/>
      <c r="C30" s="3795"/>
      <c r="D30" s="3798"/>
      <c r="E30" s="3805"/>
      <c r="F30" s="1249" t="s">
        <v>989</v>
      </c>
      <c r="G30" s="3803"/>
      <c r="H30" s="2227" t="s">
        <v>30</v>
      </c>
      <c r="I30" s="1238">
        <f t="shared" si="0"/>
        <v>94.9</v>
      </c>
      <c r="J30" s="726">
        <v>94.9</v>
      </c>
      <c r="K30" s="726">
        <v>93.3</v>
      </c>
      <c r="L30" s="728"/>
      <c r="M30" s="1246">
        <f t="shared" si="9"/>
        <v>100.2</v>
      </c>
      <c r="N30" s="726">
        <v>100.2</v>
      </c>
      <c r="O30" s="726">
        <v>98.2</v>
      </c>
      <c r="P30" s="728"/>
      <c r="Q30" s="1246">
        <f t="shared" si="7"/>
        <v>100.2</v>
      </c>
      <c r="R30" s="726">
        <v>100.2</v>
      </c>
      <c r="S30" s="726">
        <v>98.2</v>
      </c>
      <c r="T30" s="728"/>
      <c r="U30" s="1246">
        <f t="shared" si="8"/>
        <v>100.2</v>
      </c>
      <c r="V30" s="726">
        <v>100.2</v>
      </c>
      <c r="W30" s="726">
        <v>98.2</v>
      </c>
      <c r="X30" s="727"/>
      <c r="Y30" s="354"/>
    </row>
    <row r="31" spans="1:25" x14ac:dyDescent="0.2">
      <c r="A31" s="3791"/>
      <c r="B31" s="3793"/>
      <c r="C31" s="3795"/>
      <c r="D31" s="3798"/>
      <c r="E31" s="3805"/>
      <c r="F31" s="1249" t="s">
        <v>990</v>
      </c>
      <c r="G31" s="3803"/>
      <c r="H31" s="2227" t="s">
        <v>30</v>
      </c>
      <c r="I31" s="1238">
        <f t="shared" si="0"/>
        <v>42.7</v>
      </c>
      <c r="J31" s="726">
        <v>42.7</v>
      </c>
      <c r="K31" s="726">
        <v>41.6</v>
      </c>
      <c r="L31" s="728"/>
      <c r="M31" s="1246">
        <f t="shared" si="9"/>
        <v>55.5</v>
      </c>
      <c r="N31" s="726">
        <v>55.5</v>
      </c>
      <c r="O31" s="726">
        <v>54.2</v>
      </c>
      <c r="P31" s="728"/>
      <c r="Q31" s="1246">
        <f t="shared" si="7"/>
        <v>55.5</v>
      </c>
      <c r="R31" s="726">
        <v>55.5</v>
      </c>
      <c r="S31" s="726">
        <v>54.2</v>
      </c>
      <c r="T31" s="728"/>
      <c r="U31" s="1246">
        <f t="shared" si="8"/>
        <v>55.5</v>
      </c>
      <c r="V31" s="726">
        <v>55.5</v>
      </c>
      <c r="W31" s="726">
        <v>54.2</v>
      </c>
      <c r="X31" s="727"/>
      <c r="Y31" s="354"/>
    </row>
    <row r="32" spans="1:25" x14ac:dyDescent="0.2">
      <c r="A32" s="3791"/>
      <c r="B32" s="3793"/>
      <c r="C32" s="3795"/>
      <c r="D32" s="3799"/>
      <c r="E32" s="3805"/>
      <c r="F32" s="1250" t="s">
        <v>991</v>
      </c>
      <c r="G32" s="3803"/>
      <c r="H32" s="2229" t="s">
        <v>30</v>
      </c>
      <c r="I32" s="1238">
        <f t="shared" si="0"/>
        <v>227.3</v>
      </c>
      <c r="J32" s="726">
        <v>227.3</v>
      </c>
      <c r="K32" s="726">
        <v>223.2</v>
      </c>
      <c r="L32" s="728"/>
      <c r="M32" s="1246">
        <f t="shared" si="9"/>
        <v>241.6</v>
      </c>
      <c r="N32" s="726">
        <v>241.6</v>
      </c>
      <c r="O32" s="726">
        <v>236.1</v>
      </c>
      <c r="P32" s="728"/>
      <c r="Q32" s="1246">
        <f t="shared" si="7"/>
        <v>241.6</v>
      </c>
      <c r="R32" s="726">
        <v>241.6</v>
      </c>
      <c r="S32" s="726">
        <v>236.1</v>
      </c>
      <c r="T32" s="728"/>
      <c r="U32" s="1246">
        <f t="shared" si="8"/>
        <v>241.6</v>
      </c>
      <c r="V32" s="726">
        <v>241.6</v>
      </c>
      <c r="W32" s="726">
        <v>236.1</v>
      </c>
      <c r="X32" s="727"/>
      <c r="Y32" s="354"/>
    </row>
    <row r="33" spans="1:25" x14ac:dyDescent="0.2">
      <c r="A33" s="3791"/>
      <c r="B33" s="3793"/>
      <c r="C33" s="3795"/>
      <c r="D33" s="2205" t="s">
        <v>992</v>
      </c>
      <c r="E33" s="1251">
        <v>3</v>
      </c>
      <c r="F33" s="1250" t="s">
        <v>993</v>
      </c>
      <c r="G33" s="3803"/>
      <c r="H33" s="2213" t="s">
        <v>30</v>
      </c>
      <c r="I33" s="1238">
        <f t="shared" si="0"/>
        <v>30</v>
      </c>
      <c r="J33" s="726">
        <v>30</v>
      </c>
      <c r="K33" s="726"/>
      <c r="L33" s="728"/>
      <c r="M33" s="1246">
        <f t="shared" si="9"/>
        <v>30</v>
      </c>
      <c r="N33" s="726">
        <v>30</v>
      </c>
      <c r="O33" s="726"/>
      <c r="P33" s="728"/>
      <c r="Q33" s="1238">
        <f t="shared" si="7"/>
        <v>40</v>
      </c>
      <c r="R33" s="726">
        <v>40</v>
      </c>
      <c r="S33" s="726"/>
      <c r="T33" s="728"/>
      <c r="U33" s="1238">
        <f t="shared" si="8"/>
        <v>40</v>
      </c>
      <c r="V33" s="726">
        <v>40</v>
      </c>
      <c r="W33" s="726"/>
      <c r="X33" s="727"/>
      <c r="Y33" s="354"/>
    </row>
    <row r="34" spans="1:25" ht="37.5" customHeight="1" thickBot="1" x14ac:dyDescent="0.25">
      <c r="A34" s="3791"/>
      <c r="B34" s="3793"/>
      <c r="C34" s="3795"/>
      <c r="D34" s="2311" t="s">
        <v>994</v>
      </c>
      <c r="E34" s="2204">
        <v>6</v>
      </c>
      <c r="F34" s="1252" t="s">
        <v>995</v>
      </c>
      <c r="G34" s="3804"/>
      <c r="H34" s="2226" t="s">
        <v>30</v>
      </c>
      <c r="I34" s="2235">
        <f>SUM(J34+L34)</f>
        <v>100</v>
      </c>
      <c r="J34" s="2233">
        <v>100</v>
      </c>
      <c r="K34" s="2233"/>
      <c r="L34" s="86"/>
      <c r="M34" s="1246">
        <f t="shared" si="9"/>
        <v>220</v>
      </c>
      <c r="N34" s="2233">
        <f>100+120</f>
        <v>220</v>
      </c>
      <c r="O34" s="2233"/>
      <c r="P34" s="86"/>
      <c r="Q34" s="2235">
        <f t="shared" si="7"/>
        <v>100</v>
      </c>
      <c r="R34" s="2233">
        <v>100</v>
      </c>
      <c r="S34" s="2233"/>
      <c r="T34" s="86"/>
      <c r="U34" s="2235">
        <f t="shared" si="8"/>
        <v>100</v>
      </c>
      <c r="V34" s="726">
        <v>100</v>
      </c>
      <c r="W34" s="726"/>
      <c r="X34" s="727"/>
      <c r="Y34" s="354"/>
    </row>
    <row r="35" spans="1:25" s="1245" customFormat="1" ht="22.15" customHeight="1" thickBot="1" x14ac:dyDescent="0.25">
      <c r="A35" s="3792"/>
      <c r="B35" s="3794"/>
      <c r="C35" s="3796"/>
      <c r="D35" s="1253"/>
      <c r="E35" s="1254"/>
      <c r="F35" s="2777" t="s">
        <v>35</v>
      </c>
      <c r="G35" s="2778"/>
      <c r="H35" s="2779"/>
      <c r="I35" s="714">
        <f>SUM(J35+L35)</f>
        <v>4027.1</v>
      </c>
      <c r="J35" s="711">
        <f>SUM(J17:J34)</f>
        <v>3829.6</v>
      </c>
      <c r="K35" s="711">
        <f>SUM(K17:K34)</f>
        <v>3045.8</v>
      </c>
      <c r="L35" s="713">
        <f>SUM(L17:L34)</f>
        <v>197.5</v>
      </c>
      <c r="M35" s="714">
        <f>SUM(N35+P35)</f>
        <v>5047.7</v>
      </c>
      <c r="N35" s="711">
        <f>SUM(N17:N34)</f>
        <v>4842.7</v>
      </c>
      <c r="O35" s="711">
        <f>SUM(O17:O34)</f>
        <v>3780.4999999999995</v>
      </c>
      <c r="P35" s="712">
        <f>SUM(P17:P34)</f>
        <v>205</v>
      </c>
      <c r="Q35" s="714">
        <f>SUM(R35+T35)</f>
        <v>4810.3</v>
      </c>
      <c r="R35" s="711">
        <f>SUM(R17:R34)</f>
        <v>4605.3</v>
      </c>
      <c r="S35" s="711">
        <f>SUM(S17:S34)</f>
        <v>3780.4999999999995</v>
      </c>
      <c r="T35" s="713">
        <f>SUM(T17:T34)</f>
        <v>205</v>
      </c>
      <c r="U35" s="714">
        <f>SUM(V35+X35)</f>
        <v>4810.3</v>
      </c>
      <c r="V35" s="84">
        <f>SUM(V17:V34)</f>
        <v>4605.3</v>
      </c>
      <c r="W35" s="84">
        <f>SUM(W17:W34)</f>
        <v>3780.4999999999995</v>
      </c>
      <c r="X35" s="85">
        <f>SUM(X17:X34)</f>
        <v>205</v>
      </c>
      <c r="Y35" s="354"/>
    </row>
    <row r="36" spans="1:25" ht="13.5" customHeight="1" x14ac:dyDescent="0.2">
      <c r="A36" s="3791">
        <v>1</v>
      </c>
      <c r="B36" s="3793">
        <v>1</v>
      </c>
      <c r="C36" s="3795">
        <v>3</v>
      </c>
      <c r="D36" s="3813" t="s">
        <v>996</v>
      </c>
      <c r="E36" s="3819">
        <v>6</v>
      </c>
      <c r="F36" s="3821" t="s">
        <v>977</v>
      </c>
      <c r="G36" s="3802" t="s">
        <v>997</v>
      </c>
      <c r="H36" s="3817" t="s">
        <v>30</v>
      </c>
      <c r="I36" s="3811">
        <f>SUM(J36+L36)</f>
        <v>127.7</v>
      </c>
      <c r="J36" s="3807">
        <v>127.7</v>
      </c>
      <c r="K36" s="3807">
        <v>122.1</v>
      </c>
      <c r="L36" s="3809"/>
      <c r="M36" s="3811">
        <f t="shared" ref="M36:M51" si="10">SUM(N36+P36)</f>
        <v>153.5</v>
      </c>
      <c r="N36" s="3807">
        <v>153.5</v>
      </c>
      <c r="O36" s="3807">
        <v>142.4</v>
      </c>
      <c r="P36" s="3809"/>
      <c r="Q36" s="3811">
        <f t="shared" si="7"/>
        <v>153.5</v>
      </c>
      <c r="R36" s="3807">
        <v>153.5</v>
      </c>
      <c r="S36" s="3807">
        <v>142.4</v>
      </c>
      <c r="T36" s="3809"/>
      <c r="U36" s="3811">
        <f t="shared" ref="U36:U46" si="11">SUM(V36+X36)</f>
        <v>153.5</v>
      </c>
      <c r="V36" s="3807">
        <v>153.5</v>
      </c>
      <c r="W36" s="3807">
        <v>142.4</v>
      </c>
      <c r="X36" s="3809"/>
      <c r="Y36" s="354"/>
    </row>
    <row r="37" spans="1:25" ht="13.5" customHeight="1" thickBot="1" x14ac:dyDescent="0.25">
      <c r="A37" s="3791"/>
      <c r="B37" s="3793"/>
      <c r="C37" s="3795"/>
      <c r="D37" s="3813"/>
      <c r="E37" s="3819"/>
      <c r="F37" s="3822"/>
      <c r="G37" s="3803"/>
      <c r="H37" s="3818"/>
      <c r="I37" s="3812"/>
      <c r="J37" s="3808"/>
      <c r="K37" s="3808"/>
      <c r="L37" s="3810"/>
      <c r="M37" s="3812"/>
      <c r="N37" s="3808"/>
      <c r="O37" s="3808"/>
      <c r="P37" s="3810"/>
      <c r="Q37" s="3812"/>
      <c r="R37" s="3808"/>
      <c r="S37" s="3808"/>
      <c r="T37" s="3810"/>
      <c r="U37" s="3812"/>
      <c r="V37" s="3808"/>
      <c r="W37" s="3808"/>
      <c r="X37" s="3810"/>
      <c r="Y37" s="354"/>
    </row>
    <row r="38" spans="1:25" s="1245" customFormat="1" ht="21" customHeight="1" thickBot="1" x14ac:dyDescent="0.25">
      <c r="A38" s="3792"/>
      <c r="B38" s="3794"/>
      <c r="C38" s="3796"/>
      <c r="D38" s="3814"/>
      <c r="E38" s="3820"/>
      <c r="F38" s="2777" t="s">
        <v>35</v>
      </c>
      <c r="G38" s="2778"/>
      <c r="H38" s="2779"/>
      <c r="I38" s="1255">
        <f t="shared" ref="I38:I64" si="12">SUM(J38+L38)</f>
        <v>127.7</v>
      </c>
      <c r="J38" s="1244">
        <f>SUM(J36:J37)</f>
        <v>127.7</v>
      </c>
      <c r="K38" s="1244">
        <f>SUM(K36:K37)</f>
        <v>122.1</v>
      </c>
      <c r="L38" s="1256">
        <f>SUM(L36:L37)</f>
        <v>0</v>
      </c>
      <c r="M38" s="714">
        <f>SUM(N38+P38)</f>
        <v>153.5</v>
      </c>
      <c r="N38" s="711">
        <f>SUM(N36:N37)</f>
        <v>153.5</v>
      </c>
      <c r="O38" s="711">
        <f>SUM(O36:O37)</f>
        <v>142.4</v>
      </c>
      <c r="P38" s="712">
        <f>SUM(P36:P37)</f>
        <v>0</v>
      </c>
      <c r="Q38" s="1257">
        <f>SUM(R38+T38)</f>
        <v>153.5</v>
      </c>
      <c r="R38" s="1244">
        <f>SUM(R36:R37)</f>
        <v>153.5</v>
      </c>
      <c r="S38" s="1244">
        <f>SUM(S36:S37)</f>
        <v>142.4</v>
      </c>
      <c r="T38" s="1256">
        <f>SUM(T36:T37)</f>
        <v>0</v>
      </c>
      <c r="U38" s="714">
        <f>SUM(V38+X38)</f>
        <v>153.5</v>
      </c>
      <c r="V38" s="711">
        <f>SUM(V36:V37)</f>
        <v>153.5</v>
      </c>
      <c r="W38" s="711">
        <f>SUM(W36:W37)</f>
        <v>142.4</v>
      </c>
      <c r="X38" s="712">
        <f>SUM(X36:X37)</f>
        <v>0</v>
      </c>
      <c r="Y38" s="354"/>
    </row>
    <row r="39" spans="1:25" s="1245" customFormat="1" ht="21" customHeight="1" thickBot="1" x14ac:dyDescent="0.25">
      <c r="A39" s="3791">
        <v>1</v>
      </c>
      <c r="B39" s="3793">
        <v>1</v>
      </c>
      <c r="C39" s="3795">
        <v>4</v>
      </c>
      <c r="D39" s="3813" t="s">
        <v>998</v>
      </c>
      <c r="E39" s="3815">
        <v>19</v>
      </c>
      <c r="F39" s="2225" t="s">
        <v>983</v>
      </c>
      <c r="G39" s="2225" t="s">
        <v>999</v>
      </c>
      <c r="H39" s="2232" t="s">
        <v>30</v>
      </c>
      <c r="I39" s="1235">
        <f t="shared" si="12"/>
        <v>77</v>
      </c>
      <c r="J39" s="718">
        <v>77</v>
      </c>
      <c r="K39" s="718">
        <v>61.3</v>
      </c>
      <c r="L39" s="720"/>
      <c r="M39" s="1235">
        <f t="shared" si="10"/>
        <v>100.5</v>
      </c>
      <c r="N39" s="718">
        <v>100.5</v>
      </c>
      <c r="O39" s="718">
        <v>74.099999999999994</v>
      </c>
      <c r="P39" s="717"/>
      <c r="Q39" s="1235">
        <f t="shared" si="7"/>
        <v>100.5</v>
      </c>
      <c r="R39" s="718">
        <v>100.5</v>
      </c>
      <c r="S39" s="718">
        <v>74.099999999999994</v>
      </c>
      <c r="T39" s="717"/>
      <c r="U39" s="1235">
        <f t="shared" si="11"/>
        <v>100.5</v>
      </c>
      <c r="V39" s="718">
        <v>100.5</v>
      </c>
      <c r="W39" s="718">
        <v>74.099999999999994</v>
      </c>
      <c r="X39" s="1236"/>
      <c r="Y39" s="354"/>
    </row>
    <row r="40" spans="1:25" s="1245" customFormat="1" ht="21" customHeight="1" thickBot="1" x14ac:dyDescent="0.25">
      <c r="A40" s="3792"/>
      <c r="B40" s="3794"/>
      <c r="C40" s="3796"/>
      <c r="D40" s="3814"/>
      <c r="E40" s="3816"/>
      <c r="F40" s="2895" t="s">
        <v>35</v>
      </c>
      <c r="G40" s="2896"/>
      <c r="H40" s="2778"/>
      <c r="I40" s="714">
        <f t="shared" si="12"/>
        <v>77</v>
      </c>
      <c r="J40" s="711">
        <f t="shared" ref="J40:P40" si="13">SUM(J39:J39)</f>
        <v>77</v>
      </c>
      <c r="K40" s="711">
        <f t="shared" si="13"/>
        <v>61.3</v>
      </c>
      <c r="L40" s="713">
        <f t="shared" si="13"/>
        <v>0</v>
      </c>
      <c r="M40" s="714">
        <f t="shared" si="13"/>
        <v>100.5</v>
      </c>
      <c r="N40" s="711">
        <f t="shared" si="13"/>
        <v>100.5</v>
      </c>
      <c r="O40" s="711">
        <f t="shared" si="13"/>
        <v>74.099999999999994</v>
      </c>
      <c r="P40" s="712">
        <f t="shared" si="13"/>
        <v>0</v>
      </c>
      <c r="Q40" s="776">
        <f>SUM(R40+T40)</f>
        <v>100.5</v>
      </c>
      <c r="R40" s="711">
        <f>SUM(R39:R39)</f>
        <v>100.5</v>
      </c>
      <c r="S40" s="711">
        <f>SUM(S39:S39)</f>
        <v>74.099999999999994</v>
      </c>
      <c r="T40" s="713">
        <f>SUM(T39:T39)</f>
        <v>0</v>
      </c>
      <c r="U40" s="714">
        <f>SUM(V40+X40)</f>
        <v>100.5</v>
      </c>
      <c r="V40" s="711">
        <f>SUM(V39:V39)</f>
        <v>100.5</v>
      </c>
      <c r="W40" s="711">
        <f>SUM(W39:W39)</f>
        <v>74.099999999999994</v>
      </c>
      <c r="X40" s="712">
        <f>SUM(X39:X39)</f>
        <v>0</v>
      </c>
      <c r="Y40" s="354"/>
    </row>
    <row r="41" spans="1:25" s="1245" customFormat="1" ht="17.45" customHeight="1" x14ac:dyDescent="0.2">
      <c r="A41" s="3791">
        <v>1</v>
      </c>
      <c r="B41" s="3793">
        <v>1</v>
      </c>
      <c r="C41" s="3795">
        <v>5</v>
      </c>
      <c r="D41" s="3813" t="s">
        <v>1000</v>
      </c>
      <c r="E41" s="3815">
        <v>20</v>
      </c>
      <c r="F41" s="3823" t="s">
        <v>983</v>
      </c>
      <c r="G41" s="3823" t="s">
        <v>1001</v>
      </c>
      <c r="H41" s="1258" t="s">
        <v>30</v>
      </c>
      <c r="I41" s="1246">
        <f t="shared" si="12"/>
        <v>76.400000000000006</v>
      </c>
      <c r="J41" s="706">
        <v>76.400000000000006</v>
      </c>
      <c r="K41" s="706">
        <v>59.3</v>
      </c>
      <c r="L41" s="708"/>
      <c r="M41" s="1246">
        <f t="shared" si="10"/>
        <v>99.9</v>
      </c>
      <c r="N41" s="706">
        <v>99.9</v>
      </c>
      <c r="O41" s="706">
        <v>75</v>
      </c>
      <c r="P41" s="708"/>
      <c r="Q41" s="1246">
        <f t="shared" ref="Q41:Q46" si="14">SUM(R41+T41)</f>
        <v>99.9</v>
      </c>
      <c r="R41" s="706">
        <v>99.9</v>
      </c>
      <c r="S41" s="706">
        <v>75</v>
      </c>
      <c r="T41" s="708"/>
      <c r="U41" s="1235">
        <f t="shared" si="11"/>
        <v>99.9</v>
      </c>
      <c r="V41" s="706">
        <v>99.9</v>
      </c>
      <c r="W41" s="706">
        <v>75</v>
      </c>
      <c r="X41" s="1236"/>
      <c r="Y41" s="354"/>
    </row>
    <row r="42" spans="1:25" s="1245" customFormat="1" ht="17.45" customHeight="1" thickBot="1" x14ac:dyDescent="0.25">
      <c r="A42" s="3791"/>
      <c r="B42" s="3793"/>
      <c r="C42" s="3795"/>
      <c r="D42" s="3813"/>
      <c r="E42" s="3815"/>
      <c r="F42" s="3824"/>
      <c r="G42" s="3824"/>
      <c r="H42" s="1259" t="s">
        <v>34</v>
      </c>
      <c r="I42" s="1238">
        <f t="shared" si="12"/>
        <v>0.4</v>
      </c>
      <c r="J42" s="726">
        <v>0.4</v>
      </c>
      <c r="K42" s="726"/>
      <c r="L42" s="728"/>
      <c r="M42" s="1246">
        <f t="shared" si="10"/>
        <v>0.4</v>
      </c>
      <c r="N42" s="726">
        <v>0.4</v>
      </c>
      <c r="O42" s="726"/>
      <c r="P42" s="728"/>
      <c r="Q42" s="1246">
        <f t="shared" si="14"/>
        <v>0.4</v>
      </c>
      <c r="R42" s="726">
        <v>0.4</v>
      </c>
      <c r="S42" s="726"/>
      <c r="T42" s="728"/>
      <c r="U42" s="1246">
        <f t="shared" si="11"/>
        <v>0.4</v>
      </c>
      <c r="V42" s="726">
        <v>0.4</v>
      </c>
      <c r="W42" s="1260"/>
      <c r="X42" s="1239"/>
      <c r="Y42" s="354"/>
    </row>
    <row r="43" spans="1:25" s="1245" customFormat="1" ht="21" customHeight="1" thickBot="1" x14ac:dyDescent="0.25">
      <c r="A43" s="3792"/>
      <c r="B43" s="3794"/>
      <c r="C43" s="3796"/>
      <c r="D43" s="3814"/>
      <c r="E43" s="3816"/>
      <c r="F43" s="2777" t="s">
        <v>35</v>
      </c>
      <c r="G43" s="2778"/>
      <c r="H43" s="2779"/>
      <c r="I43" s="714">
        <f>SUM(J43+L43)</f>
        <v>76.800000000000011</v>
      </c>
      <c r="J43" s="711">
        <f>SUM(J41:J42)</f>
        <v>76.800000000000011</v>
      </c>
      <c r="K43" s="711">
        <f>SUM(K41:K42)</f>
        <v>59.3</v>
      </c>
      <c r="L43" s="713">
        <f>SUM(L41:L42)</f>
        <v>0</v>
      </c>
      <c r="M43" s="714">
        <f>SUM(N43+P43)</f>
        <v>100.30000000000001</v>
      </c>
      <c r="N43" s="711">
        <f>SUM(N41:N42)</f>
        <v>100.30000000000001</v>
      </c>
      <c r="O43" s="711">
        <f>SUM(O41:O42)</f>
        <v>75</v>
      </c>
      <c r="P43" s="712">
        <f>SUM(P41:P42)</f>
        <v>0</v>
      </c>
      <c r="Q43" s="776">
        <f>SUM(R43+T43)</f>
        <v>100.30000000000001</v>
      </c>
      <c r="R43" s="711">
        <f>SUM(R41:R42)</f>
        <v>100.30000000000001</v>
      </c>
      <c r="S43" s="711">
        <f>SUM(S41:S42)</f>
        <v>75</v>
      </c>
      <c r="T43" s="713">
        <f>SUM(T41:T42)</f>
        <v>0</v>
      </c>
      <c r="U43" s="714">
        <f>SUM(V43+X43)</f>
        <v>100.30000000000001</v>
      </c>
      <c r="V43" s="711">
        <f>SUM(V41:V42)</f>
        <v>100.30000000000001</v>
      </c>
      <c r="W43" s="711">
        <f>SUM(W41:W42)</f>
        <v>75</v>
      </c>
      <c r="X43" s="712">
        <f>SUM(X41:X42)</f>
        <v>0</v>
      </c>
      <c r="Y43" s="354"/>
    </row>
    <row r="44" spans="1:25" s="1245" customFormat="1" ht="21" customHeight="1" thickBot="1" x14ac:dyDescent="0.25">
      <c r="A44" s="3791">
        <v>1</v>
      </c>
      <c r="B44" s="3793">
        <v>1</v>
      </c>
      <c r="C44" s="3795">
        <v>6</v>
      </c>
      <c r="D44" s="3813" t="s">
        <v>1002</v>
      </c>
      <c r="E44" s="3815">
        <v>21</v>
      </c>
      <c r="F44" s="2231" t="s">
        <v>983</v>
      </c>
      <c r="G44" s="2223" t="s">
        <v>1003</v>
      </c>
      <c r="H44" s="2210" t="s">
        <v>30</v>
      </c>
      <c r="I44" s="1238">
        <f t="shared" si="12"/>
        <v>78.900000000000006</v>
      </c>
      <c r="J44" s="726">
        <v>78.900000000000006</v>
      </c>
      <c r="K44" s="726">
        <v>69.2</v>
      </c>
      <c r="L44" s="728"/>
      <c r="M44" s="1246">
        <f t="shared" si="10"/>
        <v>114.6</v>
      </c>
      <c r="N44" s="1945">
        <v>114.6</v>
      </c>
      <c r="O44" s="726">
        <v>87.8</v>
      </c>
      <c r="P44" s="728"/>
      <c r="Q44" s="1246">
        <f t="shared" si="14"/>
        <v>114.6</v>
      </c>
      <c r="R44" s="726">
        <v>114.6</v>
      </c>
      <c r="S44" s="726">
        <v>87.8</v>
      </c>
      <c r="T44" s="728"/>
      <c r="U44" s="1246">
        <f t="shared" si="11"/>
        <v>114.6</v>
      </c>
      <c r="V44" s="726">
        <v>114.6</v>
      </c>
      <c r="W44" s="726">
        <v>87.8</v>
      </c>
      <c r="X44" s="71"/>
      <c r="Y44" s="354"/>
    </row>
    <row r="45" spans="1:25" s="1245" customFormat="1" ht="21" customHeight="1" thickBot="1" x14ac:dyDescent="0.25">
      <c r="A45" s="3792"/>
      <c r="B45" s="3794"/>
      <c r="C45" s="3796"/>
      <c r="D45" s="3814"/>
      <c r="E45" s="3816"/>
      <c r="F45" s="2777" t="s">
        <v>35</v>
      </c>
      <c r="G45" s="2778"/>
      <c r="H45" s="2779"/>
      <c r="I45" s="714">
        <f t="shared" si="12"/>
        <v>78.900000000000006</v>
      </c>
      <c r="J45" s="711">
        <f t="shared" ref="J45:X45" si="15">SUM(J44:J44)</f>
        <v>78.900000000000006</v>
      </c>
      <c r="K45" s="711">
        <f t="shared" si="15"/>
        <v>69.2</v>
      </c>
      <c r="L45" s="713">
        <f t="shared" si="15"/>
        <v>0</v>
      </c>
      <c r="M45" s="714">
        <f t="shared" si="15"/>
        <v>114.6</v>
      </c>
      <c r="N45" s="711">
        <f t="shared" si="15"/>
        <v>114.6</v>
      </c>
      <c r="O45" s="711">
        <f t="shared" si="15"/>
        <v>87.8</v>
      </c>
      <c r="P45" s="712">
        <f t="shared" si="15"/>
        <v>0</v>
      </c>
      <c r="Q45" s="714">
        <f t="shared" si="15"/>
        <v>114.6</v>
      </c>
      <c r="R45" s="711">
        <f t="shared" si="15"/>
        <v>114.6</v>
      </c>
      <c r="S45" s="711">
        <f t="shared" si="15"/>
        <v>87.8</v>
      </c>
      <c r="T45" s="712">
        <f t="shared" si="15"/>
        <v>0</v>
      </c>
      <c r="U45" s="776">
        <f t="shared" si="15"/>
        <v>114.6</v>
      </c>
      <c r="V45" s="711">
        <f t="shared" si="15"/>
        <v>114.6</v>
      </c>
      <c r="W45" s="711">
        <f t="shared" si="15"/>
        <v>87.8</v>
      </c>
      <c r="X45" s="712">
        <f t="shared" si="15"/>
        <v>0</v>
      </c>
      <c r="Y45" s="354"/>
    </row>
    <row r="46" spans="1:25" s="1245" customFormat="1" ht="21" customHeight="1" thickBot="1" x14ac:dyDescent="0.25">
      <c r="A46" s="3791">
        <v>1</v>
      </c>
      <c r="B46" s="3793">
        <v>1</v>
      </c>
      <c r="C46" s="3795">
        <v>7</v>
      </c>
      <c r="D46" s="3813" t="s">
        <v>1004</v>
      </c>
      <c r="E46" s="3815">
        <v>22</v>
      </c>
      <c r="F46" s="2231" t="s">
        <v>983</v>
      </c>
      <c r="G46" s="2223" t="s">
        <v>1005</v>
      </c>
      <c r="H46" s="2210" t="s">
        <v>30</v>
      </c>
      <c r="I46" s="1238">
        <f t="shared" si="12"/>
        <v>69.3</v>
      </c>
      <c r="J46" s="726">
        <v>69.3</v>
      </c>
      <c r="K46" s="726">
        <v>59.1</v>
      </c>
      <c r="L46" s="728"/>
      <c r="M46" s="1246">
        <f t="shared" si="10"/>
        <v>89.9</v>
      </c>
      <c r="N46" s="726">
        <v>89.9</v>
      </c>
      <c r="O46" s="726">
        <v>73.2</v>
      </c>
      <c r="P46" s="728"/>
      <c r="Q46" s="1246">
        <f t="shared" si="14"/>
        <v>89.9</v>
      </c>
      <c r="R46" s="726">
        <v>89.9</v>
      </c>
      <c r="S46" s="726">
        <v>73.2</v>
      </c>
      <c r="T46" s="728"/>
      <c r="U46" s="1246">
        <f t="shared" si="11"/>
        <v>89.9</v>
      </c>
      <c r="V46" s="726">
        <v>89.9</v>
      </c>
      <c r="W46" s="726">
        <v>73.2</v>
      </c>
      <c r="X46" s="1239"/>
      <c r="Y46" s="354"/>
    </row>
    <row r="47" spans="1:25" s="1245" customFormat="1" ht="21" customHeight="1" thickBot="1" x14ac:dyDescent="0.25">
      <c r="A47" s="3792"/>
      <c r="B47" s="3794"/>
      <c r="C47" s="3796"/>
      <c r="D47" s="3814"/>
      <c r="E47" s="3816"/>
      <c r="F47" s="2777" t="s">
        <v>35</v>
      </c>
      <c r="G47" s="2778"/>
      <c r="H47" s="2779"/>
      <c r="I47" s="714">
        <f>SUM(J47+L47)</f>
        <v>69.3</v>
      </c>
      <c r="J47" s="711">
        <f t="shared" ref="J47:X47" si="16">SUM(J46:J46)</f>
        <v>69.3</v>
      </c>
      <c r="K47" s="711">
        <f t="shared" si="16"/>
        <v>59.1</v>
      </c>
      <c r="L47" s="713">
        <f t="shared" si="16"/>
        <v>0</v>
      </c>
      <c r="M47" s="714">
        <f t="shared" si="16"/>
        <v>89.9</v>
      </c>
      <c r="N47" s="711">
        <f t="shared" si="16"/>
        <v>89.9</v>
      </c>
      <c r="O47" s="711">
        <f t="shared" si="16"/>
        <v>73.2</v>
      </c>
      <c r="P47" s="712">
        <f t="shared" si="16"/>
        <v>0</v>
      </c>
      <c r="Q47" s="714">
        <f t="shared" si="16"/>
        <v>89.9</v>
      </c>
      <c r="R47" s="711">
        <f t="shared" si="16"/>
        <v>89.9</v>
      </c>
      <c r="S47" s="711">
        <f t="shared" si="16"/>
        <v>73.2</v>
      </c>
      <c r="T47" s="712">
        <f t="shared" si="16"/>
        <v>0</v>
      </c>
      <c r="U47" s="776">
        <f t="shared" si="16"/>
        <v>89.9</v>
      </c>
      <c r="V47" s="711">
        <f t="shared" si="16"/>
        <v>89.9</v>
      </c>
      <c r="W47" s="711">
        <f t="shared" si="16"/>
        <v>73.2</v>
      </c>
      <c r="X47" s="712">
        <f t="shared" si="16"/>
        <v>0</v>
      </c>
      <c r="Y47" s="354"/>
    </row>
    <row r="48" spans="1:25" s="1245" customFormat="1" ht="21" customHeight="1" thickBot="1" x14ac:dyDescent="0.25">
      <c r="A48" s="3791">
        <v>1</v>
      </c>
      <c r="B48" s="3793">
        <v>1</v>
      </c>
      <c r="C48" s="3795">
        <v>8</v>
      </c>
      <c r="D48" s="3813" t="s">
        <v>1006</v>
      </c>
      <c r="E48" s="3815">
        <v>23</v>
      </c>
      <c r="F48" s="2225" t="s">
        <v>983</v>
      </c>
      <c r="G48" s="2225" t="s">
        <v>1007</v>
      </c>
      <c r="H48" s="2232" t="s">
        <v>30</v>
      </c>
      <c r="I48" s="1246">
        <f t="shared" si="12"/>
        <v>58.5</v>
      </c>
      <c r="J48" s="726">
        <v>58.5</v>
      </c>
      <c r="K48" s="726">
        <v>54.4</v>
      </c>
      <c r="L48" s="707"/>
      <c r="M48" s="1246">
        <f t="shared" si="10"/>
        <v>77.5</v>
      </c>
      <c r="N48" s="726">
        <v>77.5</v>
      </c>
      <c r="O48" s="726">
        <v>70.599999999999994</v>
      </c>
      <c r="P48" s="728"/>
      <c r="Q48" s="1246">
        <f t="shared" ref="Q48:Q64" si="17">SUM(R48+T48)</f>
        <v>77.5</v>
      </c>
      <c r="R48" s="726">
        <v>77.5</v>
      </c>
      <c r="S48" s="726">
        <v>70.599999999999994</v>
      </c>
      <c r="T48" s="728"/>
      <c r="U48" s="1246">
        <f t="shared" ref="U48:U64" si="18">SUM(V48+X48)</f>
        <v>77.5</v>
      </c>
      <c r="V48" s="726">
        <v>77.5</v>
      </c>
      <c r="W48" s="726">
        <v>70.599999999999994</v>
      </c>
      <c r="X48" s="1239"/>
      <c r="Y48" s="354"/>
    </row>
    <row r="49" spans="1:25" s="1245" customFormat="1" ht="21" customHeight="1" thickBot="1" x14ac:dyDescent="0.25">
      <c r="A49" s="3792"/>
      <c r="B49" s="3794"/>
      <c r="C49" s="3796"/>
      <c r="D49" s="3814"/>
      <c r="E49" s="3816"/>
      <c r="F49" s="2777" t="s">
        <v>35</v>
      </c>
      <c r="G49" s="2778"/>
      <c r="H49" s="2779"/>
      <c r="I49" s="714">
        <f t="shared" si="12"/>
        <v>58.5</v>
      </c>
      <c r="J49" s="711">
        <f>SUM(J48)</f>
        <v>58.5</v>
      </c>
      <c r="K49" s="711">
        <f t="shared" ref="K49:L49" si="19">SUM(K48)</f>
        <v>54.4</v>
      </c>
      <c r="L49" s="711">
        <f t="shared" si="19"/>
        <v>0</v>
      </c>
      <c r="M49" s="714">
        <f>SUM(N49+P49)</f>
        <v>77.5</v>
      </c>
      <c r="N49" s="711">
        <f>SUM(N48)</f>
        <v>77.5</v>
      </c>
      <c r="O49" s="711">
        <f t="shared" ref="O49:P49" si="20">SUM(O48)</f>
        <v>70.599999999999994</v>
      </c>
      <c r="P49" s="711">
        <f t="shared" si="20"/>
        <v>0</v>
      </c>
      <c r="Q49" s="714">
        <f>SUM(R49+T49)</f>
        <v>77.5</v>
      </c>
      <c r="R49" s="711">
        <f>SUM(R48)</f>
        <v>77.5</v>
      </c>
      <c r="S49" s="711">
        <f t="shared" ref="S49:T49" si="21">SUM(S48)</f>
        <v>70.599999999999994</v>
      </c>
      <c r="T49" s="713">
        <f t="shared" si="21"/>
        <v>0</v>
      </c>
      <c r="U49" s="714">
        <f>SUM(V49+X49)</f>
        <v>77.5</v>
      </c>
      <c r="V49" s="711">
        <f>SUM(V48)</f>
        <v>77.5</v>
      </c>
      <c r="W49" s="711">
        <f t="shared" ref="W49:X49" si="22">SUM(W48)</f>
        <v>70.599999999999994</v>
      </c>
      <c r="X49" s="712">
        <f t="shared" si="22"/>
        <v>0</v>
      </c>
      <c r="Y49" s="354"/>
    </row>
    <row r="50" spans="1:25" s="1245" customFormat="1" ht="21" customHeight="1" x14ac:dyDescent="0.2">
      <c r="A50" s="3791">
        <v>1</v>
      </c>
      <c r="B50" s="3793">
        <v>1</v>
      </c>
      <c r="C50" s="3795">
        <v>9</v>
      </c>
      <c r="D50" s="3813" t="s">
        <v>1008</v>
      </c>
      <c r="E50" s="3815">
        <v>24</v>
      </c>
      <c r="F50" s="3795" t="s">
        <v>983</v>
      </c>
      <c r="G50" s="3805" t="s">
        <v>1009</v>
      </c>
      <c r="H50" s="1261" t="s">
        <v>30</v>
      </c>
      <c r="I50" s="1238">
        <f t="shared" si="12"/>
        <v>63.5</v>
      </c>
      <c r="J50" s="726">
        <v>63.5</v>
      </c>
      <c r="K50" s="726">
        <v>56.1</v>
      </c>
      <c r="L50" s="728"/>
      <c r="M50" s="1246">
        <f t="shared" si="10"/>
        <v>94.5</v>
      </c>
      <c r="N50" s="1945">
        <v>94.5</v>
      </c>
      <c r="O50" s="726">
        <v>73.400000000000006</v>
      </c>
      <c r="P50" s="728"/>
      <c r="Q50" s="1246">
        <f t="shared" si="17"/>
        <v>94.5</v>
      </c>
      <c r="R50" s="726">
        <v>94.5</v>
      </c>
      <c r="S50" s="726">
        <v>73.400000000000006</v>
      </c>
      <c r="T50" s="728"/>
      <c r="U50" s="1246">
        <f t="shared" si="18"/>
        <v>94.5</v>
      </c>
      <c r="V50" s="726">
        <v>94.5</v>
      </c>
      <c r="W50" s="726">
        <v>73.400000000000006</v>
      </c>
      <c r="X50" s="71"/>
      <c r="Y50" s="354"/>
    </row>
    <row r="51" spans="1:25" s="1245" customFormat="1" ht="21" customHeight="1" thickBot="1" x14ac:dyDescent="0.25">
      <c r="A51" s="3791"/>
      <c r="B51" s="3793"/>
      <c r="C51" s="3795"/>
      <c r="D51" s="3813"/>
      <c r="E51" s="3815"/>
      <c r="F51" s="3795"/>
      <c r="G51" s="3805"/>
      <c r="H51" s="2210" t="s">
        <v>34</v>
      </c>
      <c r="I51" s="1238">
        <f t="shared" si="12"/>
        <v>0.1</v>
      </c>
      <c r="J51" s="726">
        <v>0.1</v>
      </c>
      <c r="K51" s="726"/>
      <c r="L51" s="728"/>
      <c r="M51" s="1246">
        <f t="shared" si="10"/>
        <v>0.3</v>
      </c>
      <c r="N51" s="726">
        <v>0.3</v>
      </c>
      <c r="O51" s="726"/>
      <c r="P51" s="728"/>
      <c r="Q51" s="1246">
        <f t="shared" si="17"/>
        <v>0.3</v>
      </c>
      <c r="R51" s="726">
        <v>0.3</v>
      </c>
      <c r="S51" s="726"/>
      <c r="T51" s="728"/>
      <c r="U51" s="1246">
        <f t="shared" si="18"/>
        <v>0.3</v>
      </c>
      <c r="V51" s="1260">
        <v>0.3</v>
      </c>
      <c r="W51" s="1260"/>
      <c r="X51" s="1239"/>
      <c r="Y51" s="354"/>
    </row>
    <row r="52" spans="1:25" s="1245" customFormat="1" ht="21" customHeight="1" thickBot="1" x14ac:dyDescent="0.25">
      <c r="A52" s="3792"/>
      <c r="B52" s="3794"/>
      <c r="C52" s="3796"/>
      <c r="D52" s="3814"/>
      <c r="E52" s="3816"/>
      <c r="F52" s="2777" t="s">
        <v>35</v>
      </c>
      <c r="G52" s="2778"/>
      <c r="H52" s="2779"/>
      <c r="I52" s="714">
        <f>SUM(J52+L52)</f>
        <v>63.6</v>
      </c>
      <c r="J52" s="711">
        <f t="shared" ref="J52:X52" si="23">SUM(J50:J51)</f>
        <v>63.6</v>
      </c>
      <c r="K52" s="711">
        <f t="shared" si="23"/>
        <v>56.1</v>
      </c>
      <c r="L52" s="713">
        <f t="shared" si="23"/>
        <v>0</v>
      </c>
      <c r="M52" s="714">
        <f t="shared" si="23"/>
        <v>94.8</v>
      </c>
      <c r="N52" s="711">
        <f t="shared" si="23"/>
        <v>94.8</v>
      </c>
      <c r="O52" s="711">
        <f t="shared" si="23"/>
        <v>73.400000000000006</v>
      </c>
      <c r="P52" s="712">
        <f t="shared" si="23"/>
        <v>0</v>
      </c>
      <c r="Q52" s="714">
        <f t="shared" si="23"/>
        <v>94.8</v>
      </c>
      <c r="R52" s="711">
        <f t="shared" si="23"/>
        <v>94.8</v>
      </c>
      <c r="S52" s="711">
        <f t="shared" si="23"/>
        <v>73.400000000000006</v>
      </c>
      <c r="T52" s="712">
        <f t="shared" si="23"/>
        <v>0</v>
      </c>
      <c r="U52" s="776">
        <f t="shared" si="23"/>
        <v>94.8</v>
      </c>
      <c r="V52" s="711">
        <f t="shared" si="23"/>
        <v>94.8</v>
      </c>
      <c r="W52" s="711">
        <f t="shared" si="23"/>
        <v>73.400000000000006</v>
      </c>
      <c r="X52" s="712">
        <f t="shared" si="23"/>
        <v>0</v>
      </c>
      <c r="Y52" s="354"/>
    </row>
    <row r="53" spans="1:25" s="1245" customFormat="1" ht="21" customHeight="1" x14ac:dyDescent="0.2">
      <c r="A53" s="3791">
        <v>1</v>
      </c>
      <c r="B53" s="3793">
        <v>1</v>
      </c>
      <c r="C53" s="3795">
        <v>10</v>
      </c>
      <c r="D53" s="3813" t="s">
        <v>1010</v>
      </c>
      <c r="E53" s="3815">
        <v>25</v>
      </c>
      <c r="F53" s="3825" t="s">
        <v>983</v>
      </c>
      <c r="G53" s="3826" t="s">
        <v>1011</v>
      </c>
      <c r="H53" s="2210" t="s">
        <v>30</v>
      </c>
      <c r="I53" s="1238">
        <f t="shared" si="12"/>
        <v>78.7</v>
      </c>
      <c r="J53" s="726">
        <v>78.7</v>
      </c>
      <c r="K53" s="726">
        <v>65.8</v>
      </c>
      <c r="L53" s="728"/>
      <c r="M53" s="1246">
        <f>SUM(N53+P53)</f>
        <v>90.7</v>
      </c>
      <c r="N53" s="726">
        <v>90.7</v>
      </c>
      <c r="O53" s="726">
        <v>70</v>
      </c>
      <c r="P53" s="728"/>
      <c r="Q53" s="1246">
        <f t="shared" si="17"/>
        <v>90.7</v>
      </c>
      <c r="R53" s="726">
        <v>90.7</v>
      </c>
      <c r="S53" s="726">
        <v>70</v>
      </c>
      <c r="T53" s="728"/>
      <c r="U53" s="1246">
        <f t="shared" si="18"/>
        <v>90.7</v>
      </c>
      <c r="V53" s="726">
        <v>90.7</v>
      </c>
      <c r="W53" s="726">
        <v>70</v>
      </c>
      <c r="X53" s="71"/>
      <c r="Y53" s="354"/>
    </row>
    <row r="54" spans="1:25" s="1245" customFormat="1" ht="21" customHeight="1" thickBot="1" x14ac:dyDescent="0.25">
      <c r="A54" s="3791"/>
      <c r="B54" s="3793"/>
      <c r="C54" s="3795"/>
      <c r="D54" s="3813"/>
      <c r="E54" s="3815"/>
      <c r="F54" s="3795"/>
      <c r="G54" s="3805"/>
      <c r="H54" s="2210" t="s">
        <v>34</v>
      </c>
      <c r="I54" s="1238">
        <f t="shared" si="12"/>
        <v>1.2</v>
      </c>
      <c r="J54" s="726">
        <v>1.2</v>
      </c>
      <c r="K54" s="726"/>
      <c r="L54" s="728"/>
      <c r="M54" s="1246">
        <f>SUM(N54+P54)</f>
        <v>1.3</v>
      </c>
      <c r="N54" s="726">
        <v>1.3</v>
      </c>
      <c r="O54" s="726"/>
      <c r="P54" s="728"/>
      <c r="Q54" s="1246">
        <f t="shared" si="17"/>
        <v>1.3</v>
      </c>
      <c r="R54" s="726">
        <v>1.3</v>
      </c>
      <c r="S54" s="726"/>
      <c r="T54" s="728"/>
      <c r="U54" s="1246">
        <f t="shared" si="18"/>
        <v>1.3</v>
      </c>
      <c r="V54" s="1260">
        <v>1.3</v>
      </c>
      <c r="W54" s="1260"/>
      <c r="X54" s="1239"/>
      <c r="Y54" s="354"/>
    </row>
    <row r="55" spans="1:25" s="1245" customFormat="1" ht="21" customHeight="1" thickBot="1" x14ac:dyDescent="0.25">
      <c r="A55" s="3792"/>
      <c r="B55" s="3794"/>
      <c r="C55" s="3796"/>
      <c r="D55" s="3814"/>
      <c r="E55" s="3816"/>
      <c r="F55" s="2777" t="s">
        <v>35</v>
      </c>
      <c r="G55" s="2778"/>
      <c r="H55" s="2779"/>
      <c r="I55" s="714">
        <f>SUM(J55+L55)</f>
        <v>79.900000000000006</v>
      </c>
      <c r="J55" s="711">
        <f t="shared" ref="J55:X55" si="24">SUM(J53:J54)</f>
        <v>79.900000000000006</v>
      </c>
      <c r="K55" s="711">
        <f t="shared" si="24"/>
        <v>65.8</v>
      </c>
      <c r="L55" s="713">
        <f t="shared" si="24"/>
        <v>0</v>
      </c>
      <c r="M55" s="714">
        <f t="shared" si="24"/>
        <v>92</v>
      </c>
      <c r="N55" s="711">
        <f t="shared" si="24"/>
        <v>92</v>
      </c>
      <c r="O55" s="711">
        <f t="shared" si="24"/>
        <v>70</v>
      </c>
      <c r="P55" s="712">
        <f t="shared" si="24"/>
        <v>0</v>
      </c>
      <c r="Q55" s="714">
        <f t="shared" si="24"/>
        <v>92</v>
      </c>
      <c r="R55" s="711">
        <f t="shared" si="24"/>
        <v>92</v>
      </c>
      <c r="S55" s="711">
        <f t="shared" si="24"/>
        <v>70</v>
      </c>
      <c r="T55" s="712">
        <f t="shared" si="24"/>
        <v>0</v>
      </c>
      <c r="U55" s="776">
        <f t="shared" si="24"/>
        <v>92</v>
      </c>
      <c r="V55" s="711">
        <f t="shared" si="24"/>
        <v>92</v>
      </c>
      <c r="W55" s="711">
        <f t="shared" si="24"/>
        <v>70</v>
      </c>
      <c r="X55" s="712">
        <f t="shared" si="24"/>
        <v>0</v>
      </c>
      <c r="Y55" s="354"/>
    </row>
    <row r="56" spans="1:25" s="1245" customFormat="1" ht="21" customHeight="1" thickBot="1" x14ac:dyDescent="0.25">
      <c r="A56" s="3791">
        <v>1</v>
      </c>
      <c r="B56" s="3793">
        <v>1</v>
      </c>
      <c r="C56" s="3795">
        <v>11</v>
      </c>
      <c r="D56" s="3798" t="s">
        <v>1012</v>
      </c>
      <c r="E56" s="3815">
        <v>26</v>
      </c>
      <c r="F56" s="2231" t="s">
        <v>983</v>
      </c>
      <c r="G56" s="2223" t="s">
        <v>1013</v>
      </c>
      <c r="H56" s="2210" t="s">
        <v>30</v>
      </c>
      <c r="I56" s="1238">
        <f t="shared" si="12"/>
        <v>90.7</v>
      </c>
      <c r="J56" s="726">
        <v>90.7</v>
      </c>
      <c r="K56" s="726">
        <v>73.3</v>
      </c>
      <c r="L56" s="728"/>
      <c r="M56" s="1246">
        <f>SUM(N56+P56)</f>
        <v>107.2</v>
      </c>
      <c r="N56" s="726">
        <v>107.2</v>
      </c>
      <c r="O56" s="726">
        <v>81.7</v>
      </c>
      <c r="P56" s="728"/>
      <c r="Q56" s="1246">
        <f t="shared" si="17"/>
        <v>107.2</v>
      </c>
      <c r="R56" s="726">
        <v>107.2</v>
      </c>
      <c r="S56" s="726">
        <v>81.7</v>
      </c>
      <c r="T56" s="728"/>
      <c r="U56" s="1235">
        <f t="shared" si="18"/>
        <v>107.2</v>
      </c>
      <c r="V56" s="726">
        <v>107.2</v>
      </c>
      <c r="W56" s="726">
        <v>81.7</v>
      </c>
      <c r="X56" s="1236"/>
      <c r="Y56" s="354"/>
    </row>
    <row r="57" spans="1:25" s="1245" customFormat="1" ht="21" customHeight="1" thickBot="1" x14ac:dyDescent="0.25">
      <c r="A57" s="3792"/>
      <c r="B57" s="3794"/>
      <c r="C57" s="3796"/>
      <c r="D57" s="3799"/>
      <c r="E57" s="3816"/>
      <c r="F57" s="2777" t="s">
        <v>35</v>
      </c>
      <c r="G57" s="2778"/>
      <c r="H57" s="2779"/>
      <c r="I57" s="714">
        <f>SUM(J57+L57)</f>
        <v>90.7</v>
      </c>
      <c r="J57" s="711">
        <f t="shared" ref="J57:X57" si="25">SUM(J56:J56)</f>
        <v>90.7</v>
      </c>
      <c r="K57" s="711">
        <f t="shared" si="25"/>
        <v>73.3</v>
      </c>
      <c r="L57" s="713">
        <f t="shared" si="25"/>
        <v>0</v>
      </c>
      <c r="M57" s="714">
        <f t="shared" si="25"/>
        <v>107.2</v>
      </c>
      <c r="N57" s="711">
        <f t="shared" si="25"/>
        <v>107.2</v>
      </c>
      <c r="O57" s="711">
        <f t="shared" si="25"/>
        <v>81.7</v>
      </c>
      <c r="P57" s="712">
        <f t="shared" si="25"/>
        <v>0</v>
      </c>
      <c r="Q57" s="776">
        <f t="shared" si="25"/>
        <v>107.2</v>
      </c>
      <c r="R57" s="711">
        <f t="shared" si="25"/>
        <v>107.2</v>
      </c>
      <c r="S57" s="711">
        <f t="shared" si="25"/>
        <v>81.7</v>
      </c>
      <c r="T57" s="713">
        <f t="shared" si="25"/>
        <v>0</v>
      </c>
      <c r="U57" s="714">
        <f t="shared" si="25"/>
        <v>107.2</v>
      </c>
      <c r="V57" s="711">
        <f t="shared" si="25"/>
        <v>107.2</v>
      </c>
      <c r="W57" s="711">
        <f t="shared" si="25"/>
        <v>81.7</v>
      </c>
      <c r="X57" s="712">
        <f t="shared" si="25"/>
        <v>0</v>
      </c>
      <c r="Y57" s="354"/>
    </row>
    <row r="58" spans="1:25" s="1245" customFormat="1" ht="21" customHeight="1" x14ac:dyDescent="0.2">
      <c r="A58" s="3791">
        <v>1</v>
      </c>
      <c r="B58" s="3827">
        <v>1</v>
      </c>
      <c r="C58" s="3805">
        <v>12</v>
      </c>
      <c r="D58" s="3798" t="s">
        <v>1014</v>
      </c>
      <c r="E58" s="3815">
        <v>27</v>
      </c>
      <c r="F58" s="3825" t="s">
        <v>983</v>
      </c>
      <c r="G58" s="3826" t="s">
        <v>1015</v>
      </c>
      <c r="H58" s="2210" t="s">
        <v>30</v>
      </c>
      <c r="I58" s="1238">
        <f t="shared" si="12"/>
        <v>112.4</v>
      </c>
      <c r="J58" s="718">
        <v>112.4</v>
      </c>
      <c r="K58" s="718">
        <v>93.3</v>
      </c>
      <c r="L58" s="728"/>
      <c r="M58" s="1235">
        <f t="shared" ref="M58:M64" si="26">SUM(N58+P58)</f>
        <v>140.1</v>
      </c>
      <c r="N58" s="1944">
        <v>140.1</v>
      </c>
      <c r="O58" s="718">
        <v>95.6</v>
      </c>
      <c r="P58" s="717"/>
      <c r="Q58" s="1246">
        <f t="shared" si="17"/>
        <v>140.1</v>
      </c>
      <c r="R58" s="718">
        <v>140.1</v>
      </c>
      <c r="S58" s="718">
        <v>95.6</v>
      </c>
      <c r="T58" s="717"/>
      <c r="U58" s="1235">
        <f t="shared" si="18"/>
        <v>140.1</v>
      </c>
      <c r="V58" s="718">
        <v>140.1</v>
      </c>
      <c r="W58" s="718">
        <v>95.6</v>
      </c>
      <c r="X58" s="1236"/>
      <c r="Y58" s="354"/>
    </row>
    <row r="59" spans="1:25" s="1245" customFormat="1" ht="21" customHeight="1" thickBot="1" x14ac:dyDescent="0.25">
      <c r="A59" s="3791"/>
      <c r="B59" s="3827"/>
      <c r="C59" s="3805"/>
      <c r="D59" s="3798"/>
      <c r="E59" s="3815"/>
      <c r="F59" s="3795"/>
      <c r="G59" s="3805"/>
      <c r="H59" s="2212" t="s">
        <v>34</v>
      </c>
      <c r="I59" s="1246">
        <f>SUM(J59+L59)</f>
        <v>0</v>
      </c>
      <c r="J59" s="706"/>
      <c r="K59" s="706"/>
      <c r="L59" s="708"/>
      <c r="M59" s="2235">
        <f>SUM(N59+P59)</f>
        <v>0</v>
      </c>
      <c r="N59" s="706"/>
      <c r="O59" s="706"/>
      <c r="P59" s="708"/>
      <c r="Q59" s="2235">
        <f>SUM(R59+T59)</f>
        <v>0</v>
      </c>
      <c r="R59" s="706"/>
      <c r="S59" s="706"/>
      <c r="T59" s="708"/>
      <c r="U59" s="1262">
        <f>SUM(V59+X59)</f>
        <v>0</v>
      </c>
      <c r="V59" s="1263"/>
      <c r="W59" s="1263"/>
      <c r="X59" s="1264"/>
      <c r="Y59" s="354"/>
    </row>
    <row r="60" spans="1:25" s="1245" customFormat="1" ht="21" customHeight="1" thickBot="1" x14ac:dyDescent="0.25">
      <c r="A60" s="3792"/>
      <c r="B60" s="3828"/>
      <c r="C60" s="3801"/>
      <c r="D60" s="3799"/>
      <c r="E60" s="3816"/>
      <c r="F60" s="2777" t="s">
        <v>35</v>
      </c>
      <c r="G60" s="2778"/>
      <c r="H60" s="2779"/>
      <c r="I60" s="714">
        <f>SUM(J60+L60)</f>
        <v>112.4</v>
      </c>
      <c r="J60" s="711">
        <f>SUM(J58:J59)</f>
        <v>112.4</v>
      </c>
      <c r="K60" s="711">
        <f>SUM(K58:K59)</f>
        <v>93.3</v>
      </c>
      <c r="L60" s="713">
        <f t="shared" ref="L60:X60" si="27">SUM(L58:L59)</f>
        <v>0</v>
      </c>
      <c r="M60" s="714">
        <f t="shared" si="27"/>
        <v>140.1</v>
      </c>
      <c r="N60" s="711">
        <f t="shared" si="27"/>
        <v>140.1</v>
      </c>
      <c r="O60" s="711">
        <f t="shared" si="27"/>
        <v>95.6</v>
      </c>
      <c r="P60" s="712">
        <f t="shared" si="27"/>
        <v>0</v>
      </c>
      <c r="Q60" s="776">
        <f t="shared" si="27"/>
        <v>140.1</v>
      </c>
      <c r="R60" s="711">
        <f t="shared" si="27"/>
        <v>140.1</v>
      </c>
      <c r="S60" s="711">
        <f t="shared" si="27"/>
        <v>95.6</v>
      </c>
      <c r="T60" s="713">
        <f t="shared" si="27"/>
        <v>0</v>
      </c>
      <c r="U60" s="714">
        <f t="shared" si="27"/>
        <v>140.1</v>
      </c>
      <c r="V60" s="711">
        <f t="shared" si="27"/>
        <v>140.1</v>
      </c>
      <c r="W60" s="711">
        <f t="shared" si="27"/>
        <v>95.6</v>
      </c>
      <c r="X60" s="712">
        <f t="shared" si="27"/>
        <v>0</v>
      </c>
      <c r="Y60" s="354"/>
    </row>
    <row r="61" spans="1:25" s="1245" customFormat="1" ht="21" customHeight="1" x14ac:dyDescent="0.2">
      <c r="A61" s="3791">
        <v>1</v>
      </c>
      <c r="B61" s="3827">
        <v>1</v>
      </c>
      <c r="C61" s="3805">
        <v>13</v>
      </c>
      <c r="D61" s="3798" t="s">
        <v>1016</v>
      </c>
      <c r="E61" s="3815">
        <v>28</v>
      </c>
      <c r="F61" s="3825" t="s">
        <v>983</v>
      </c>
      <c r="G61" s="3826" t="s">
        <v>1017</v>
      </c>
      <c r="H61" s="2210" t="s">
        <v>30</v>
      </c>
      <c r="I61" s="1238">
        <f t="shared" si="12"/>
        <v>79.8</v>
      </c>
      <c r="J61" s="726">
        <v>79.8</v>
      </c>
      <c r="K61" s="726">
        <v>66.599999999999994</v>
      </c>
      <c r="L61" s="728"/>
      <c r="M61" s="1246">
        <f t="shared" si="26"/>
        <v>96.4</v>
      </c>
      <c r="N61" s="726">
        <v>96.4</v>
      </c>
      <c r="O61" s="726">
        <v>78.099999999999994</v>
      </c>
      <c r="P61" s="728"/>
      <c r="Q61" s="1246">
        <f t="shared" si="17"/>
        <v>96.4</v>
      </c>
      <c r="R61" s="726">
        <v>96.4</v>
      </c>
      <c r="S61" s="726">
        <v>78.099999999999994</v>
      </c>
      <c r="T61" s="728"/>
      <c r="U61" s="1246">
        <f t="shared" si="18"/>
        <v>96.4</v>
      </c>
      <c r="V61" s="726">
        <v>96.4</v>
      </c>
      <c r="W61" s="726">
        <v>78.099999999999994</v>
      </c>
      <c r="X61" s="1239"/>
      <c r="Y61" s="354"/>
    </row>
    <row r="62" spans="1:25" s="1245" customFormat="1" ht="21" customHeight="1" thickBot="1" x14ac:dyDescent="0.25">
      <c r="A62" s="3791"/>
      <c r="B62" s="3827"/>
      <c r="C62" s="3805"/>
      <c r="D62" s="3798"/>
      <c r="E62" s="3815"/>
      <c r="F62" s="3795"/>
      <c r="G62" s="3805"/>
      <c r="H62" s="2210" t="s">
        <v>34</v>
      </c>
      <c r="I62" s="1238">
        <f t="shared" si="12"/>
        <v>2.2000000000000002</v>
      </c>
      <c r="J62" s="726">
        <v>2.2000000000000002</v>
      </c>
      <c r="K62" s="726"/>
      <c r="L62" s="728"/>
      <c r="M62" s="1246">
        <f t="shared" si="26"/>
        <v>1.7</v>
      </c>
      <c r="N62" s="726">
        <v>1.7</v>
      </c>
      <c r="O62" s="726"/>
      <c r="P62" s="728"/>
      <c r="Q62" s="1246">
        <f t="shared" si="17"/>
        <v>1.7</v>
      </c>
      <c r="R62" s="726">
        <v>1.7</v>
      </c>
      <c r="S62" s="726"/>
      <c r="T62" s="728"/>
      <c r="U62" s="1246">
        <f t="shared" si="18"/>
        <v>1.7</v>
      </c>
      <c r="V62" s="726">
        <v>1.7</v>
      </c>
      <c r="W62" s="1260"/>
      <c r="X62" s="1239"/>
      <c r="Y62" s="354"/>
    </row>
    <row r="63" spans="1:25" s="1245" customFormat="1" ht="21" customHeight="1" thickBot="1" x14ac:dyDescent="0.25">
      <c r="A63" s="3792"/>
      <c r="B63" s="3828"/>
      <c r="C63" s="3801"/>
      <c r="D63" s="3799"/>
      <c r="E63" s="3816"/>
      <c r="F63" s="2777" t="s">
        <v>35</v>
      </c>
      <c r="G63" s="2778"/>
      <c r="H63" s="2779"/>
      <c r="I63" s="714">
        <f>SUM(J63+L63)</f>
        <v>82</v>
      </c>
      <c r="J63" s="711">
        <f t="shared" ref="J63:X63" si="28">SUM(J61:J62)</f>
        <v>82</v>
      </c>
      <c r="K63" s="711">
        <f t="shared" si="28"/>
        <v>66.599999999999994</v>
      </c>
      <c r="L63" s="713">
        <f t="shared" si="28"/>
        <v>0</v>
      </c>
      <c r="M63" s="714">
        <f t="shared" si="28"/>
        <v>98.100000000000009</v>
      </c>
      <c r="N63" s="711">
        <f t="shared" si="28"/>
        <v>98.100000000000009</v>
      </c>
      <c r="O63" s="711">
        <f t="shared" si="28"/>
        <v>78.099999999999994</v>
      </c>
      <c r="P63" s="712">
        <f t="shared" si="28"/>
        <v>0</v>
      </c>
      <c r="Q63" s="776">
        <f t="shared" si="28"/>
        <v>98.100000000000009</v>
      </c>
      <c r="R63" s="711">
        <f t="shared" si="28"/>
        <v>98.100000000000009</v>
      </c>
      <c r="S63" s="711">
        <f t="shared" si="28"/>
        <v>78.099999999999994</v>
      </c>
      <c r="T63" s="713">
        <f t="shared" si="28"/>
        <v>0</v>
      </c>
      <c r="U63" s="714">
        <f t="shared" si="28"/>
        <v>98.100000000000009</v>
      </c>
      <c r="V63" s="711">
        <f t="shared" si="28"/>
        <v>98.100000000000009</v>
      </c>
      <c r="W63" s="711">
        <f t="shared" si="28"/>
        <v>78.099999999999994</v>
      </c>
      <c r="X63" s="662">
        <f t="shared" si="28"/>
        <v>0</v>
      </c>
      <c r="Y63" s="354"/>
    </row>
    <row r="64" spans="1:25" s="1245" customFormat="1" ht="21" customHeight="1" thickBot="1" x14ac:dyDescent="0.25">
      <c r="A64" s="3791">
        <v>1</v>
      </c>
      <c r="B64" s="3827">
        <v>1</v>
      </c>
      <c r="C64" s="3805">
        <v>14</v>
      </c>
      <c r="D64" s="3798" t="s">
        <v>1018</v>
      </c>
      <c r="E64" s="3815">
        <v>29</v>
      </c>
      <c r="F64" s="2231" t="s">
        <v>983</v>
      </c>
      <c r="G64" s="2223" t="s">
        <v>1019</v>
      </c>
      <c r="H64" s="2210" t="s">
        <v>30</v>
      </c>
      <c r="I64" s="1238">
        <f t="shared" si="12"/>
        <v>97.7</v>
      </c>
      <c r="J64" s="718">
        <v>97.7</v>
      </c>
      <c r="K64" s="718">
        <v>82.1</v>
      </c>
      <c r="L64" s="728"/>
      <c r="M64" s="1235">
        <f t="shared" si="26"/>
        <v>111.8</v>
      </c>
      <c r="N64" s="718">
        <v>111.8</v>
      </c>
      <c r="O64" s="718">
        <v>89.7</v>
      </c>
      <c r="P64" s="717"/>
      <c r="Q64" s="1246">
        <f t="shared" si="17"/>
        <v>111.8</v>
      </c>
      <c r="R64" s="718">
        <v>111.8</v>
      </c>
      <c r="S64" s="718">
        <v>89.7</v>
      </c>
      <c r="T64" s="717"/>
      <c r="U64" s="1246">
        <f t="shared" si="18"/>
        <v>111.8</v>
      </c>
      <c r="V64" s="718">
        <v>111.8</v>
      </c>
      <c r="W64" s="718">
        <v>89.7</v>
      </c>
      <c r="X64" s="1236"/>
      <c r="Y64" s="354"/>
    </row>
    <row r="65" spans="1:25" s="1245" customFormat="1" ht="21" customHeight="1" thickBot="1" x14ac:dyDescent="0.25">
      <c r="A65" s="3792"/>
      <c r="B65" s="3828"/>
      <c r="C65" s="3801"/>
      <c r="D65" s="3799"/>
      <c r="E65" s="3816"/>
      <c r="F65" s="2777" t="s">
        <v>35</v>
      </c>
      <c r="G65" s="2778"/>
      <c r="H65" s="2779"/>
      <c r="I65" s="714">
        <f>SUM(J65+L65)</f>
        <v>97.7</v>
      </c>
      <c r="J65" s="711">
        <f t="shared" ref="J65:X65" si="29">SUM(J64:J64)</f>
        <v>97.7</v>
      </c>
      <c r="K65" s="711">
        <f t="shared" si="29"/>
        <v>82.1</v>
      </c>
      <c r="L65" s="713">
        <f t="shared" si="29"/>
        <v>0</v>
      </c>
      <c r="M65" s="714">
        <f t="shared" si="29"/>
        <v>111.8</v>
      </c>
      <c r="N65" s="711">
        <f t="shared" si="29"/>
        <v>111.8</v>
      </c>
      <c r="O65" s="711">
        <f t="shared" si="29"/>
        <v>89.7</v>
      </c>
      <c r="P65" s="712">
        <f t="shared" si="29"/>
        <v>0</v>
      </c>
      <c r="Q65" s="776">
        <f t="shared" si="29"/>
        <v>111.8</v>
      </c>
      <c r="R65" s="711">
        <f t="shared" si="29"/>
        <v>111.8</v>
      </c>
      <c r="S65" s="711">
        <f t="shared" si="29"/>
        <v>89.7</v>
      </c>
      <c r="T65" s="713">
        <f t="shared" si="29"/>
        <v>0</v>
      </c>
      <c r="U65" s="714">
        <f t="shared" si="29"/>
        <v>111.8</v>
      </c>
      <c r="V65" s="711">
        <f t="shared" si="29"/>
        <v>111.8</v>
      </c>
      <c r="W65" s="711">
        <f t="shared" si="29"/>
        <v>89.7</v>
      </c>
      <c r="X65" s="712">
        <f t="shared" si="29"/>
        <v>0</v>
      </c>
      <c r="Y65" s="354"/>
    </row>
    <row r="66" spans="1:25" s="1245" customFormat="1" ht="26.25" customHeight="1" thickBot="1" x14ac:dyDescent="0.25">
      <c r="A66" s="2844">
        <v>1</v>
      </c>
      <c r="B66" s="2845">
        <v>1</v>
      </c>
      <c r="C66" s="2839">
        <v>15</v>
      </c>
      <c r="D66" s="3798" t="s">
        <v>1020</v>
      </c>
      <c r="E66" s="3831">
        <v>3</v>
      </c>
      <c r="F66" s="2096" t="s">
        <v>983</v>
      </c>
      <c r="G66" s="2096" t="s">
        <v>1021</v>
      </c>
      <c r="H66" s="1265" t="s">
        <v>30</v>
      </c>
      <c r="I66" s="1238">
        <f>SUM(J66)</f>
        <v>1.7</v>
      </c>
      <c r="J66" s="726">
        <v>1.7</v>
      </c>
      <c r="K66" s="726">
        <v>1.7</v>
      </c>
      <c r="L66" s="728"/>
      <c r="M66" s="1235">
        <f>SUM(N66+P66)</f>
        <v>0</v>
      </c>
      <c r="N66" s="726"/>
      <c r="O66" s="726"/>
      <c r="P66" s="1266"/>
      <c r="Q66" s="665">
        <f>SUM(R66)</f>
        <v>0</v>
      </c>
      <c r="R66" s="726"/>
      <c r="S66" s="1260"/>
      <c r="T66" s="1239"/>
      <c r="U66" s="665"/>
      <c r="V66" s="1260"/>
      <c r="W66" s="1260"/>
      <c r="X66" s="1239"/>
      <c r="Y66" s="354"/>
    </row>
    <row r="67" spans="1:25" s="1245" customFormat="1" ht="24.75" customHeight="1" thickBot="1" x14ac:dyDescent="0.25">
      <c r="A67" s="2844"/>
      <c r="B67" s="2845"/>
      <c r="C67" s="2838"/>
      <c r="D67" s="3798"/>
      <c r="E67" s="3830"/>
      <c r="F67" s="2777" t="s">
        <v>35</v>
      </c>
      <c r="G67" s="2778"/>
      <c r="H67" s="2779"/>
      <c r="I67" s="714">
        <f>SUM(J67+L67)</f>
        <v>1.7</v>
      </c>
      <c r="J67" s="711">
        <f>SUM(J66)</f>
        <v>1.7</v>
      </c>
      <c r="K67" s="711">
        <f t="shared" ref="K67:L67" si="30">SUM(K66)</f>
        <v>1.7</v>
      </c>
      <c r="L67" s="711">
        <f t="shared" si="30"/>
        <v>0</v>
      </c>
      <c r="M67" s="714">
        <f t="shared" ref="M67:M72" si="31">SUM(N67+P67)</f>
        <v>0</v>
      </c>
      <c r="N67" s="711">
        <f>SUM(N66)</f>
        <v>0</v>
      </c>
      <c r="O67" s="711">
        <f t="shared" ref="O67:P67" si="32">SUM(O66)</f>
        <v>0</v>
      </c>
      <c r="P67" s="711">
        <f t="shared" si="32"/>
        <v>0</v>
      </c>
      <c r="Q67" s="714">
        <f>SUM(R67+T67)</f>
        <v>0</v>
      </c>
      <c r="R67" s="711">
        <f>SUM(R66)</f>
        <v>0</v>
      </c>
      <c r="S67" s="711">
        <f>SUM(S66)</f>
        <v>0</v>
      </c>
      <c r="T67" s="711">
        <f>SUM(T66)</f>
        <v>0</v>
      </c>
      <c r="U67" s="714">
        <f>SUM(V67+X67)</f>
        <v>0</v>
      </c>
      <c r="V67" s="711">
        <f>SUM(V66)</f>
        <v>0</v>
      </c>
      <c r="W67" s="711">
        <f>SUM(W66)</f>
        <v>0</v>
      </c>
      <c r="X67" s="712">
        <f>SUM(X66)</f>
        <v>0</v>
      </c>
      <c r="Y67" s="354"/>
    </row>
    <row r="68" spans="1:25" s="1245" customFormat="1" ht="24.75" customHeight="1" thickBot="1" x14ac:dyDescent="0.25">
      <c r="A68" s="2844">
        <v>1</v>
      </c>
      <c r="B68" s="2845">
        <v>1</v>
      </c>
      <c r="C68" s="2846">
        <v>16</v>
      </c>
      <c r="D68" s="3829" t="s">
        <v>1022</v>
      </c>
      <c r="E68" s="2846">
        <v>10</v>
      </c>
      <c r="F68" s="2219" t="s">
        <v>983</v>
      </c>
      <c r="G68" s="2209" t="s">
        <v>1023</v>
      </c>
      <c r="H68" s="2210" t="s">
        <v>30</v>
      </c>
      <c r="I68" s="1238">
        <f>SUM(J68)</f>
        <v>29.4</v>
      </c>
      <c r="J68" s="726">
        <v>29.4</v>
      </c>
      <c r="K68" s="726"/>
      <c r="L68" s="728"/>
      <c r="M68" s="1267">
        <f t="shared" si="31"/>
        <v>0</v>
      </c>
      <c r="N68" s="726"/>
      <c r="O68" s="726"/>
      <c r="P68" s="1266"/>
      <c r="Q68" s="59">
        <f>R68+T68</f>
        <v>0</v>
      </c>
      <c r="R68" s="1260"/>
      <c r="S68" s="1260"/>
      <c r="T68" s="1239"/>
      <c r="U68" s="59">
        <f>SUM(V68+X68)</f>
        <v>0</v>
      </c>
      <c r="V68" s="1260"/>
      <c r="W68" s="1260"/>
      <c r="X68" s="1239"/>
      <c r="Y68" s="354"/>
    </row>
    <row r="69" spans="1:25" s="1245" customFormat="1" ht="24.75" customHeight="1" thickBot="1" x14ac:dyDescent="0.25">
      <c r="A69" s="2844"/>
      <c r="B69" s="2845"/>
      <c r="C69" s="2838"/>
      <c r="D69" s="3797"/>
      <c r="E69" s="3830"/>
      <c r="F69" s="2777" t="s">
        <v>35</v>
      </c>
      <c r="G69" s="2778"/>
      <c r="H69" s="2779"/>
      <c r="I69" s="714">
        <f>SUM(J69+L69)</f>
        <v>29.4</v>
      </c>
      <c r="J69" s="711">
        <f>SUM(J68)</f>
        <v>29.4</v>
      </c>
      <c r="K69" s="711">
        <f>SUM(K68)</f>
        <v>0</v>
      </c>
      <c r="L69" s="711">
        <f>SUM(L68)</f>
        <v>0</v>
      </c>
      <c r="M69" s="714">
        <f t="shared" si="31"/>
        <v>0</v>
      </c>
      <c r="N69" s="711">
        <f>SUM(N68)</f>
        <v>0</v>
      </c>
      <c r="O69" s="711">
        <f>SUM(O68)</f>
        <v>0</v>
      </c>
      <c r="P69" s="711">
        <f>SUM(P68)</f>
        <v>0</v>
      </c>
      <c r="Q69" s="714">
        <f>SUM(R69+T69)</f>
        <v>0</v>
      </c>
      <c r="R69" s="711">
        <f>SUM(R68)</f>
        <v>0</v>
      </c>
      <c r="S69" s="711">
        <f>SUM(S68)</f>
        <v>0</v>
      </c>
      <c r="T69" s="711">
        <f>SUM(T68)</f>
        <v>0</v>
      </c>
      <c r="U69" s="714">
        <f>SUM(V69+X69)</f>
        <v>0</v>
      </c>
      <c r="V69" s="711">
        <f>SUM(V68)</f>
        <v>0</v>
      </c>
      <c r="W69" s="711">
        <f>SUM(W68)</f>
        <v>0</v>
      </c>
      <c r="X69" s="712">
        <f>SUM(X68)</f>
        <v>0</v>
      </c>
      <c r="Y69" s="354"/>
    </row>
    <row r="70" spans="1:25" s="1245" customFormat="1" ht="24.75" customHeight="1" thickBot="1" x14ac:dyDescent="0.25">
      <c r="A70" s="2844">
        <v>1</v>
      </c>
      <c r="B70" s="2845">
        <v>1</v>
      </c>
      <c r="C70" s="2807">
        <v>17</v>
      </c>
      <c r="D70" s="2465" t="s">
        <v>1024</v>
      </c>
      <c r="E70" s="2809" t="s">
        <v>1025</v>
      </c>
      <c r="F70" s="2555" t="s">
        <v>1026</v>
      </c>
      <c r="G70" s="2513" t="s">
        <v>1027</v>
      </c>
      <c r="H70" s="684" t="s">
        <v>30</v>
      </c>
      <c r="I70" s="1235">
        <f>SUM(J70+L70)</f>
        <v>12.8</v>
      </c>
      <c r="J70" s="718">
        <v>5.3</v>
      </c>
      <c r="K70" s="718"/>
      <c r="L70" s="720">
        <v>7.5</v>
      </c>
      <c r="M70" s="1235">
        <f t="shared" si="31"/>
        <v>49.2</v>
      </c>
      <c r="N70" s="726">
        <v>19.2</v>
      </c>
      <c r="O70" s="726"/>
      <c r="P70" s="727">
        <v>30</v>
      </c>
      <c r="Q70" s="1268">
        <f>SUM(R70)</f>
        <v>16</v>
      </c>
      <c r="R70" s="726">
        <v>16</v>
      </c>
      <c r="S70" s="726"/>
      <c r="T70" s="728"/>
      <c r="U70" s="1238">
        <f>SUM(V70)</f>
        <v>16</v>
      </c>
      <c r="V70" s="726">
        <v>16</v>
      </c>
      <c r="W70" s="726"/>
      <c r="X70" s="1239"/>
      <c r="Y70" s="1269"/>
    </row>
    <row r="71" spans="1:25" s="1245" customFormat="1" ht="26.25" hidden="1" customHeight="1" thickBot="1" x14ac:dyDescent="0.25">
      <c r="A71" s="2844"/>
      <c r="B71" s="2845"/>
      <c r="C71" s="2807"/>
      <c r="D71" s="2465"/>
      <c r="E71" s="2809"/>
      <c r="F71" s="2555"/>
      <c r="G71" s="2513"/>
      <c r="H71" s="775" t="s">
        <v>634</v>
      </c>
      <c r="I71" s="2235">
        <f>SUM(J71)</f>
        <v>0</v>
      </c>
      <c r="J71" s="2233"/>
      <c r="K71" s="2233"/>
      <c r="L71" s="2234"/>
      <c r="M71" s="1270">
        <f t="shared" si="31"/>
        <v>0</v>
      </c>
      <c r="N71" s="731"/>
      <c r="O71" s="731"/>
      <c r="P71" s="656"/>
      <c r="Q71" s="725">
        <f>SUM(R71)</f>
        <v>0</v>
      </c>
      <c r="R71" s="731"/>
      <c r="S71" s="731"/>
      <c r="T71" s="730"/>
      <c r="U71" s="1271">
        <f>SUM(V71)</f>
        <v>0</v>
      </c>
      <c r="V71" s="731"/>
      <c r="W71" s="731"/>
      <c r="X71" s="1272"/>
      <c r="Y71" s="1269"/>
    </row>
    <row r="72" spans="1:25" s="1245" customFormat="1" ht="21.6" customHeight="1" thickBot="1" x14ac:dyDescent="0.25">
      <c r="A72" s="2844"/>
      <c r="B72" s="2845"/>
      <c r="C72" s="2807"/>
      <c r="D72" s="2465"/>
      <c r="E72" s="2856"/>
      <c r="F72" s="2810" t="s">
        <v>35</v>
      </c>
      <c r="G72" s="2811"/>
      <c r="H72" s="2812"/>
      <c r="I72" s="663">
        <f>SUM(J72+L72)</f>
        <v>12.8</v>
      </c>
      <c r="J72" s="664">
        <f>SUM(J70+J71)</f>
        <v>5.3</v>
      </c>
      <c r="K72" s="664">
        <f>SUM(K70)</f>
        <v>0</v>
      </c>
      <c r="L72" s="664">
        <f>SUM(L70)</f>
        <v>7.5</v>
      </c>
      <c r="M72" s="663">
        <f t="shared" si="31"/>
        <v>49.2</v>
      </c>
      <c r="N72" s="664">
        <f>SUM(N70+N71)</f>
        <v>19.2</v>
      </c>
      <c r="O72" s="664">
        <f>SUM(O70)</f>
        <v>0</v>
      </c>
      <c r="P72" s="662">
        <f>SUM(P70)</f>
        <v>30</v>
      </c>
      <c r="Q72" s="663">
        <f>SUM(R72+T72)</f>
        <v>16</v>
      </c>
      <c r="R72" s="664">
        <f>SUM(R70+R71)</f>
        <v>16</v>
      </c>
      <c r="S72" s="664">
        <f>SUM(S70)</f>
        <v>0</v>
      </c>
      <c r="T72" s="662">
        <f>SUM(T70)</f>
        <v>0</v>
      </c>
      <c r="U72" s="663">
        <f>SUM(V72+X72)</f>
        <v>16</v>
      </c>
      <c r="V72" s="664">
        <f>SUM(V70+V71)</f>
        <v>16</v>
      </c>
      <c r="W72" s="664">
        <f>SUM(W70)</f>
        <v>0</v>
      </c>
      <c r="X72" s="662">
        <f>SUM(X70)</f>
        <v>0</v>
      </c>
      <c r="Y72" s="1269"/>
    </row>
    <row r="73" spans="1:25" s="1245" customFormat="1" ht="21.6" customHeight="1" thickBot="1" x14ac:dyDescent="0.25">
      <c r="A73" s="2844">
        <v>1</v>
      </c>
      <c r="B73" s="2845">
        <v>1</v>
      </c>
      <c r="C73" s="2846">
        <v>18</v>
      </c>
      <c r="D73" s="2705" t="s">
        <v>1028</v>
      </c>
      <c r="E73" s="3832" t="s">
        <v>268</v>
      </c>
      <c r="F73" s="1273" t="s">
        <v>983</v>
      </c>
      <c r="G73" s="2142" t="s">
        <v>1029</v>
      </c>
      <c r="H73" s="1274" t="s">
        <v>30</v>
      </c>
      <c r="I73" s="1238">
        <f>SUM(J73)</f>
        <v>52.8</v>
      </c>
      <c r="J73" s="726">
        <v>52.8</v>
      </c>
      <c r="K73" s="726"/>
      <c r="L73" s="728"/>
      <c r="M73" s="1238">
        <f>SUM(N73)</f>
        <v>120</v>
      </c>
      <c r="N73" s="726">
        <v>120</v>
      </c>
      <c r="O73" s="726"/>
      <c r="P73" s="727"/>
      <c r="Q73" s="1238">
        <f t="shared" ref="Q73:Q120" si="33">SUM(R73+T73)</f>
        <v>120</v>
      </c>
      <c r="R73" s="726">
        <v>120</v>
      </c>
      <c r="S73" s="726"/>
      <c r="T73" s="728"/>
      <c r="U73" s="1238">
        <f t="shared" ref="U73:U120" si="34">SUM(V73+X73)</f>
        <v>120</v>
      </c>
      <c r="V73" s="726">
        <v>120</v>
      </c>
      <c r="W73" s="1260"/>
      <c r="X73" s="1239"/>
      <c r="Y73" s="1269"/>
    </row>
    <row r="74" spans="1:25" s="1245" customFormat="1" ht="21.6" customHeight="1" thickBot="1" x14ac:dyDescent="0.25">
      <c r="A74" s="2844"/>
      <c r="B74" s="2845"/>
      <c r="C74" s="2846"/>
      <c r="D74" s="2705"/>
      <c r="E74" s="2894"/>
      <c r="F74" s="2777" t="s">
        <v>35</v>
      </c>
      <c r="G74" s="2778"/>
      <c r="H74" s="2779"/>
      <c r="I74" s="663">
        <f>SUM(J74+L74)</f>
        <v>52.8</v>
      </c>
      <c r="J74" s="664">
        <f>SUM(J73)</f>
        <v>52.8</v>
      </c>
      <c r="K74" s="664">
        <f>SUM(K73)</f>
        <v>0</v>
      </c>
      <c r="L74" s="662">
        <f>SUM(L73)</f>
        <v>0</v>
      </c>
      <c r="M74" s="663">
        <f t="shared" ref="M74" si="35">SUM(N74+P74)</f>
        <v>120</v>
      </c>
      <c r="N74" s="664">
        <f>SUM(N73)</f>
        <v>120</v>
      </c>
      <c r="O74" s="664">
        <f>SUM(O73)</f>
        <v>0</v>
      </c>
      <c r="P74" s="662">
        <f>SUM(P73)</f>
        <v>0</v>
      </c>
      <c r="Q74" s="663">
        <f t="shared" si="33"/>
        <v>120</v>
      </c>
      <c r="R74" s="664">
        <f>SUM(R73)</f>
        <v>120</v>
      </c>
      <c r="S74" s="664">
        <f>SUM(S73)</f>
        <v>0</v>
      </c>
      <c r="T74" s="662">
        <f>SUM(T73)</f>
        <v>0</v>
      </c>
      <c r="U74" s="663">
        <f t="shared" si="34"/>
        <v>120</v>
      </c>
      <c r="V74" s="664">
        <f>SUM(V73)</f>
        <v>120</v>
      </c>
      <c r="W74" s="664">
        <f>SUM(W73)</f>
        <v>0</v>
      </c>
      <c r="X74" s="662">
        <f>SUM(X73)</f>
        <v>0</v>
      </c>
      <c r="Y74" s="1269"/>
    </row>
    <row r="75" spans="1:25" s="1245" customFormat="1" ht="29.25" customHeight="1" thickBot="1" x14ac:dyDescent="0.25">
      <c r="A75" s="2844">
        <v>1</v>
      </c>
      <c r="B75" s="2845">
        <v>1</v>
      </c>
      <c r="C75" s="2846">
        <v>19</v>
      </c>
      <c r="D75" s="2726" t="s">
        <v>1030</v>
      </c>
      <c r="E75" s="3832" t="s">
        <v>1025</v>
      </c>
      <c r="F75" s="1275" t="s">
        <v>983</v>
      </c>
      <c r="G75" s="1276" t="s">
        <v>1031</v>
      </c>
      <c r="H75" s="1277" t="s">
        <v>30</v>
      </c>
      <c r="I75" s="1238">
        <f>SUM(J75)</f>
        <v>29.9</v>
      </c>
      <c r="J75" s="726">
        <v>29.9</v>
      </c>
      <c r="K75" s="726"/>
      <c r="L75" s="728"/>
      <c r="M75" s="1238">
        <f>SUM(N75)</f>
        <v>0</v>
      </c>
      <c r="N75" s="726"/>
      <c r="O75" s="726"/>
      <c r="P75" s="727"/>
      <c r="Q75" s="1238">
        <f t="shared" si="33"/>
        <v>0</v>
      </c>
      <c r="R75" s="726"/>
      <c r="S75" s="726"/>
      <c r="T75" s="728"/>
      <c r="U75" s="1238">
        <f t="shared" si="34"/>
        <v>0</v>
      </c>
      <c r="V75" s="726"/>
      <c r="W75" s="1260"/>
      <c r="X75" s="1239"/>
      <c r="Y75" s="1269"/>
    </row>
    <row r="76" spans="1:25" s="1245" customFormat="1" ht="29.25" customHeight="1" thickBot="1" x14ac:dyDescent="0.25">
      <c r="A76" s="2844"/>
      <c r="B76" s="2845"/>
      <c r="C76" s="2846"/>
      <c r="D76" s="2726"/>
      <c r="E76" s="2894"/>
      <c r="F76" s="2777" t="s">
        <v>35</v>
      </c>
      <c r="G76" s="2778"/>
      <c r="H76" s="2779"/>
      <c r="I76" s="663">
        <f>SUM(J76+L76)</f>
        <v>29.9</v>
      </c>
      <c r="J76" s="664">
        <f>SUM(J75)</f>
        <v>29.9</v>
      </c>
      <c r="K76" s="664">
        <f>SUM(K75)</f>
        <v>0</v>
      </c>
      <c r="L76" s="662">
        <f>SUM(L75)</f>
        <v>0</v>
      </c>
      <c r="M76" s="663">
        <f t="shared" ref="M76" si="36">SUM(N76+P76)</f>
        <v>0</v>
      </c>
      <c r="N76" s="664">
        <f>SUM(N75)</f>
        <v>0</v>
      </c>
      <c r="O76" s="664">
        <f>SUM(O75)</f>
        <v>0</v>
      </c>
      <c r="P76" s="662">
        <f>SUM(P75)</f>
        <v>0</v>
      </c>
      <c r="Q76" s="663">
        <f t="shared" si="33"/>
        <v>0</v>
      </c>
      <c r="R76" s="664">
        <f>SUM(R75)</f>
        <v>0</v>
      </c>
      <c r="S76" s="664">
        <f>SUM(S75)</f>
        <v>0</v>
      </c>
      <c r="T76" s="662">
        <f>SUM(T75)</f>
        <v>0</v>
      </c>
      <c r="U76" s="663">
        <f t="shared" si="34"/>
        <v>0</v>
      </c>
      <c r="V76" s="664">
        <f>SUM(V75)</f>
        <v>0</v>
      </c>
      <c r="W76" s="664">
        <f>SUM(W75)</f>
        <v>0</v>
      </c>
      <c r="X76" s="662">
        <f>SUM(X75)</f>
        <v>0</v>
      </c>
      <c r="Y76" s="1269"/>
    </row>
    <row r="77" spans="1:25" s="1245" customFormat="1" ht="29.25" customHeight="1" thickBot="1" x14ac:dyDescent="0.25">
      <c r="A77" s="2844">
        <v>1</v>
      </c>
      <c r="B77" s="2845">
        <v>1</v>
      </c>
      <c r="C77" s="2846">
        <v>20</v>
      </c>
      <c r="D77" s="2726" t="s">
        <v>1032</v>
      </c>
      <c r="E77" s="3832" t="s">
        <v>1033</v>
      </c>
      <c r="F77" s="1275" t="s">
        <v>983</v>
      </c>
      <c r="G77" s="1276" t="s">
        <v>1034</v>
      </c>
      <c r="H77" s="1277" t="s">
        <v>202</v>
      </c>
      <c r="I77" s="1238">
        <f>SUM(J77)</f>
        <v>46.4</v>
      </c>
      <c r="J77" s="726">
        <v>46.4</v>
      </c>
      <c r="K77" s="726"/>
      <c r="L77" s="728"/>
      <c r="M77" s="1238">
        <f>SUM(N77)</f>
        <v>0</v>
      </c>
      <c r="N77" s="726"/>
      <c r="O77" s="726"/>
      <c r="P77" s="727"/>
      <c r="Q77" s="1238">
        <f t="shared" si="33"/>
        <v>0</v>
      </c>
      <c r="R77" s="726"/>
      <c r="S77" s="726"/>
      <c r="T77" s="728"/>
      <c r="U77" s="1238">
        <f t="shared" si="34"/>
        <v>0</v>
      </c>
      <c r="V77" s="726"/>
      <c r="W77" s="1260"/>
      <c r="X77" s="1239"/>
      <c r="Y77" s="1269"/>
    </row>
    <row r="78" spans="1:25" s="1245" customFormat="1" ht="29.25" customHeight="1" thickBot="1" x14ac:dyDescent="0.25">
      <c r="A78" s="2844"/>
      <c r="B78" s="2845"/>
      <c r="C78" s="2846"/>
      <c r="D78" s="2726"/>
      <c r="E78" s="2894"/>
      <c r="F78" s="2895" t="s">
        <v>35</v>
      </c>
      <c r="G78" s="2896"/>
      <c r="H78" s="2779"/>
      <c r="I78" s="663">
        <f>SUM(J78+L78)</f>
        <v>46.4</v>
      </c>
      <c r="J78" s="664">
        <f>SUM(J77)</f>
        <v>46.4</v>
      </c>
      <c r="K78" s="664">
        <f>SUM(K77)</f>
        <v>0</v>
      </c>
      <c r="L78" s="662">
        <f>SUM(L77)</f>
        <v>0</v>
      </c>
      <c r="M78" s="663">
        <f t="shared" ref="M78" si="37">SUM(N78+P78)</f>
        <v>0</v>
      </c>
      <c r="N78" s="664">
        <f>SUM(N77)</f>
        <v>0</v>
      </c>
      <c r="O78" s="664">
        <f>SUM(O77)</f>
        <v>0</v>
      </c>
      <c r="P78" s="662">
        <f>SUM(P77)</f>
        <v>0</v>
      </c>
      <c r="Q78" s="663">
        <f t="shared" si="33"/>
        <v>0</v>
      </c>
      <c r="R78" s="664">
        <f>SUM(R77)</f>
        <v>0</v>
      </c>
      <c r="S78" s="664">
        <f>SUM(S77)</f>
        <v>0</v>
      </c>
      <c r="T78" s="662">
        <f>SUM(T77)</f>
        <v>0</v>
      </c>
      <c r="U78" s="663">
        <f t="shared" si="34"/>
        <v>0</v>
      </c>
      <c r="V78" s="664">
        <f>SUM(V77)</f>
        <v>0</v>
      </c>
      <c r="W78" s="664">
        <f>SUM(W77)</f>
        <v>0</v>
      </c>
      <c r="X78" s="662">
        <f>SUM(X77)</f>
        <v>0</v>
      </c>
      <c r="Y78" s="1269"/>
    </row>
    <row r="79" spans="1:25" s="1245" customFormat="1" ht="15" customHeight="1" x14ac:dyDescent="0.2">
      <c r="A79" s="2844">
        <v>1</v>
      </c>
      <c r="B79" s="2845">
        <v>1</v>
      </c>
      <c r="C79" s="2846">
        <v>21</v>
      </c>
      <c r="D79" s="2705" t="s">
        <v>1035</v>
      </c>
      <c r="E79" s="3841" t="s">
        <v>163</v>
      </c>
      <c r="F79" s="2526" t="s">
        <v>983</v>
      </c>
      <c r="G79" s="2526" t="s">
        <v>1036</v>
      </c>
      <c r="H79" s="1332" t="s">
        <v>30</v>
      </c>
      <c r="I79" s="1235">
        <f>SUM(J79+L79)</f>
        <v>100.4</v>
      </c>
      <c r="J79" s="718">
        <v>22</v>
      </c>
      <c r="K79" s="718">
        <v>5.4</v>
      </c>
      <c r="L79" s="720">
        <v>78.400000000000006</v>
      </c>
      <c r="M79" s="1235">
        <f>SUM(N79,P79)</f>
        <v>670.6</v>
      </c>
      <c r="N79" s="718">
        <v>670.6</v>
      </c>
      <c r="O79" s="66">
        <v>502.1</v>
      </c>
      <c r="P79" s="720"/>
      <c r="Q79" s="1235">
        <f t="shared" si="33"/>
        <v>635.6</v>
      </c>
      <c r="R79" s="718">
        <v>635.6</v>
      </c>
      <c r="S79" s="718">
        <v>502.1</v>
      </c>
      <c r="T79" s="720"/>
      <c r="U79" s="1235">
        <f t="shared" si="34"/>
        <v>635.6</v>
      </c>
      <c r="V79" s="718">
        <v>635.6</v>
      </c>
      <c r="W79" s="718">
        <v>502.1</v>
      </c>
      <c r="X79" s="720"/>
      <c r="Y79" s="1269"/>
    </row>
    <row r="80" spans="1:25" s="1245" customFormat="1" ht="15" customHeight="1" x14ac:dyDescent="0.2">
      <c r="A80" s="2844"/>
      <c r="B80" s="2845"/>
      <c r="C80" s="2846"/>
      <c r="D80" s="2705"/>
      <c r="E80" s="3842"/>
      <c r="F80" s="2526"/>
      <c r="G80" s="2526"/>
      <c r="H80" s="1532" t="s">
        <v>33</v>
      </c>
      <c r="I80" s="1246"/>
      <c r="J80" s="706"/>
      <c r="K80" s="706"/>
      <c r="L80" s="707"/>
      <c r="M80" s="1246">
        <f>SUM(N80,P80)</f>
        <v>3</v>
      </c>
      <c r="N80" s="1994">
        <v>3</v>
      </c>
      <c r="O80" s="1994">
        <v>3</v>
      </c>
      <c r="P80" s="707"/>
      <c r="Q80" s="1246"/>
      <c r="R80" s="706"/>
      <c r="S80" s="706"/>
      <c r="T80" s="707"/>
      <c r="U80" s="1246"/>
      <c r="V80" s="706"/>
      <c r="W80" s="706"/>
      <c r="X80" s="707"/>
      <c r="Y80" s="1269"/>
    </row>
    <row r="81" spans="1:25" s="1245" customFormat="1" ht="15" customHeight="1" x14ac:dyDescent="0.2">
      <c r="A81" s="2844"/>
      <c r="B81" s="2845"/>
      <c r="C81" s="2846"/>
      <c r="D81" s="2705"/>
      <c r="E81" s="2133" t="s">
        <v>1037</v>
      </c>
      <c r="F81" s="2526"/>
      <c r="G81" s="2526"/>
      <c r="H81" s="3840" t="s">
        <v>30</v>
      </c>
      <c r="I81" s="1238">
        <f t="shared" ref="I81:I119" si="38">SUM(J81+L81)</f>
        <v>0</v>
      </c>
      <c r="J81" s="726"/>
      <c r="K81" s="726"/>
      <c r="L81" s="727"/>
      <c r="M81" s="1238">
        <f t="shared" ref="M81:M119" si="39">SUM(N81,P81)</f>
        <v>26.5</v>
      </c>
      <c r="N81" s="726">
        <v>26.5</v>
      </c>
      <c r="O81" s="726">
        <v>12.9</v>
      </c>
      <c r="P81" s="727"/>
      <c r="Q81" s="1238">
        <f t="shared" si="33"/>
        <v>0</v>
      </c>
      <c r="R81" s="726"/>
      <c r="S81" s="726"/>
      <c r="T81" s="727"/>
      <c r="U81" s="1238">
        <f t="shared" si="34"/>
        <v>0</v>
      </c>
      <c r="V81" s="726"/>
      <c r="W81" s="726"/>
      <c r="X81" s="727"/>
      <c r="Y81" s="1269"/>
    </row>
    <row r="82" spans="1:25" s="1245" customFormat="1" ht="15" customHeight="1" x14ac:dyDescent="0.2">
      <c r="A82" s="2844"/>
      <c r="B82" s="2845"/>
      <c r="C82" s="2846"/>
      <c r="D82" s="2705"/>
      <c r="E82" s="2133" t="s">
        <v>1038</v>
      </c>
      <c r="F82" s="2526"/>
      <c r="G82" s="2526"/>
      <c r="H82" s="3840"/>
      <c r="I82" s="1238">
        <f t="shared" si="38"/>
        <v>0</v>
      </c>
      <c r="J82" s="726"/>
      <c r="K82" s="726"/>
      <c r="L82" s="727"/>
      <c r="M82" s="1238">
        <f t="shared" si="39"/>
        <v>17.2</v>
      </c>
      <c r="N82" s="726">
        <v>17.2</v>
      </c>
      <c r="O82" s="726">
        <v>4.5999999999999996</v>
      </c>
      <c r="P82" s="727"/>
      <c r="Q82" s="1238">
        <f t="shared" si="33"/>
        <v>0</v>
      </c>
      <c r="R82" s="726"/>
      <c r="S82" s="726"/>
      <c r="T82" s="727"/>
      <c r="U82" s="1238">
        <f t="shared" si="34"/>
        <v>0</v>
      </c>
      <c r="V82" s="726"/>
      <c r="W82" s="726"/>
      <c r="X82" s="727"/>
      <c r="Y82" s="1269"/>
    </row>
    <row r="83" spans="1:25" s="1245" customFormat="1" ht="15" customHeight="1" x14ac:dyDescent="0.2">
      <c r="A83" s="2844"/>
      <c r="B83" s="2845"/>
      <c r="C83" s="2846"/>
      <c r="D83" s="2705"/>
      <c r="E83" s="2133" t="s">
        <v>1039</v>
      </c>
      <c r="F83" s="2526"/>
      <c r="G83" s="2526"/>
      <c r="H83" s="3840"/>
      <c r="I83" s="1238">
        <f t="shared" si="38"/>
        <v>0</v>
      </c>
      <c r="J83" s="726"/>
      <c r="K83" s="726"/>
      <c r="L83" s="727"/>
      <c r="M83" s="1238">
        <f t="shared" si="39"/>
        <v>14.3</v>
      </c>
      <c r="N83" s="726">
        <v>14.3</v>
      </c>
      <c r="O83" s="726">
        <v>4.8</v>
      </c>
      <c r="P83" s="727"/>
      <c r="Q83" s="1238">
        <f t="shared" si="33"/>
        <v>0</v>
      </c>
      <c r="R83" s="726"/>
      <c r="S83" s="726"/>
      <c r="T83" s="727"/>
      <c r="U83" s="1238">
        <f t="shared" si="34"/>
        <v>0</v>
      </c>
      <c r="V83" s="726"/>
      <c r="W83" s="726"/>
      <c r="X83" s="727"/>
      <c r="Y83" s="1269"/>
    </row>
    <row r="84" spans="1:25" s="1245" customFormat="1" ht="15" customHeight="1" x14ac:dyDescent="0.2">
      <c r="A84" s="2844"/>
      <c r="B84" s="2845"/>
      <c r="C84" s="2846"/>
      <c r="D84" s="2705"/>
      <c r="E84" s="2133" t="s">
        <v>1040</v>
      </c>
      <c r="F84" s="2526"/>
      <c r="G84" s="2526"/>
      <c r="H84" s="3840"/>
      <c r="I84" s="1238">
        <f t="shared" si="38"/>
        <v>0</v>
      </c>
      <c r="J84" s="726"/>
      <c r="K84" s="726"/>
      <c r="L84" s="727"/>
      <c r="M84" s="1238">
        <f t="shared" si="39"/>
        <v>17.3</v>
      </c>
      <c r="N84" s="726">
        <v>17.3</v>
      </c>
      <c r="O84" s="726">
        <v>5</v>
      </c>
      <c r="P84" s="727"/>
      <c r="Q84" s="1238">
        <f t="shared" si="33"/>
        <v>0</v>
      </c>
      <c r="R84" s="726"/>
      <c r="S84" s="726"/>
      <c r="T84" s="727"/>
      <c r="U84" s="1238">
        <f t="shared" si="34"/>
        <v>0</v>
      </c>
      <c r="V84" s="726"/>
      <c r="W84" s="726"/>
      <c r="X84" s="727"/>
      <c r="Y84" s="1269"/>
    </row>
    <row r="85" spans="1:25" s="1245" customFormat="1" ht="15" customHeight="1" x14ac:dyDescent="0.2">
      <c r="A85" s="2844"/>
      <c r="B85" s="2845"/>
      <c r="C85" s="2846"/>
      <c r="D85" s="2705"/>
      <c r="E85" s="2133" t="s">
        <v>1041</v>
      </c>
      <c r="F85" s="2526"/>
      <c r="G85" s="2526"/>
      <c r="H85" s="3840"/>
      <c r="I85" s="1238">
        <f t="shared" si="38"/>
        <v>0</v>
      </c>
      <c r="J85" s="726"/>
      <c r="K85" s="726"/>
      <c r="L85" s="727"/>
      <c r="M85" s="1238">
        <f t="shared" si="39"/>
        <v>9.5</v>
      </c>
      <c r="N85" s="726">
        <v>9.5</v>
      </c>
      <c r="O85" s="726">
        <v>2.9</v>
      </c>
      <c r="P85" s="727"/>
      <c r="Q85" s="1238">
        <f t="shared" si="33"/>
        <v>0</v>
      </c>
      <c r="R85" s="726"/>
      <c r="S85" s="726"/>
      <c r="T85" s="727"/>
      <c r="U85" s="1238">
        <f t="shared" si="34"/>
        <v>0</v>
      </c>
      <c r="V85" s="726"/>
      <c r="W85" s="726"/>
      <c r="X85" s="727"/>
      <c r="Y85" s="1269"/>
    </row>
    <row r="86" spans="1:25" s="1245" customFormat="1" ht="15" customHeight="1" x14ac:dyDescent="0.2">
      <c r="A86" s="2844"/>
      <c r="B86" s="2845"/>
      <c r="C86" s="2846"/>
      <c r="D86" s="2705"/>
      <c r="E86" s="2133" t="s">
        <v>1042</v>
      </c>
      <c r="F86" s="2526"/>
      <c r="G86" s="2526"/>
      <c r="H86" s="3840"/>
      <c r="I86" s="1238">
        <f t="shared" si="38"/>
        <v>0</v>
      </c>
      <c r="J86" s="726"/>
      <c r="K86" s="726"/>
      <c r="L86" s="727"/>
      <c r="M86" s="1238">
        <f t="shared" si="39"/>
        <v>12.2</v>
      </c>
      <c r="N86" s="726">
        <v>12.2</v>
      </c>
      <c r="O86" s="726">
        <v>4.0999999999999996</v>
      </c>
      <c r="P86" s="727"/>
      <c r="Q86" s="1238">
        <f t="shared" si="33"/>
        <v>0</v>
      </c>
      <c r="R86" s="726"/>
      <c r="S86" s="726"/>
      <c r="T86" s="727"/>
      <c r="U86" s="1238">
        <f t="shared" si="34"/>
        <v>0</v>
      </c>
      <c r="V86" s="726"/>
      <c r="W86" s="726"/>
      <c r="X86" s="727"/>
      <c r="Y86" s="1269"/>
    </row>
    <row r="87" spans="1:25" s="1245" customFormat="1" ht="15" customHeight="1" x14ac:dyDescent="0.2">
      <c r="A87" s="2844"/>
      <c r="B87" s="2845"/>
      <c r="C87" s="2846"/>
      <c r="D87" s="2705"/>
      <c r="E87" s="2133" t="s">
        <v>1043</v>
      </c>
      <c r="F87" s="2526"/>
      <c r="G87" s="2526"/>
      <c r="H87" s="3840"/>
      <c r="I87" s="1238">
        <f t="shared" si="38"/>
        <v>0</v>
      </c>
      <c r="J87" s="726"/>
      <c r="K87" s="726"/>
      <c r="L87" s="727"/>
      <c r="M87" s="1238">
        <f t="shared" si="39"/>
        <v>13.9</v>
      </c>
      <c r="N87" s="726">
        <v>13.9</v>
      </c>
      <c r="O87" s="726">
        <v>5.8</v>
      </c>
      <c r="P87" s="727"/>
      <c r="Q87" s="1238">
        <f t="shared" si="33"/>
        <v>0</v>
      </c>
      <c r="R87" s="726"/>
      <c r="S87" s="726"/>
      <c r="T87" s="727"/>
      <c r="U87" s="1238">
        <f t="shared" si="34"/>
        <v>0</v>
      </c>
      <c r="V87" s="726"/>
      <c r="W87" s="726"/>
      <c r="X87" s="727"/>
      <c r="Y87" s="1269"/>
    </row>
    <row r="88" spans="1:25" s="1245" customFormat="1" ht="15" customHeight="1" x14ac:dyDescent="0.2">
      <c r="A88" s="2844"/>
      <c r="B88" s="2845"/>
      <c r="C88" s="2846"/>
      <c r="D88" s="2705"/>
      <c r="E88" s="2133" t="s">
        <v>1044</v>
      </c>
      <c r="F88" s="2526"/>
      <c r="G88" s="2526"/>
      <c r="H88" s="3840"/>
      <c r="I88" s="1238">
        <f t="shared" si="38"/>
        <v>0</v>
      </c>
      <c r="J88" s="726"/>
      <c r="K88" s="726"/>
      <c r="L88" s="727"/>
      <c r="M88" s="1238">
        <f t="shared" si="39"/>
        <v>6.8</v>
      </c>
      <c r="N88" s="726">
        <v>6.8</v>
      </c>
      <c r="O88" s="726">
        <v>2.7</v>
      </c>
      <c r="P88" s="727"/>
      <c r="Q88" s="1238">
        <f t="shared" si="33"/>
        <v>0</v>
      </c>
      <c r="R88" s="726"/>
      <c r="S88" s="726"/>
      <c r="T88" s="727"/>
      <c r="U88" s="1238">
        <f t="shared" si="34"/>
        <v>0</v>
      </c>
      <c r="V88" s="726"/>
      <c r="W88" s="726"/>
      <c r="X88" s="727"/>
      <c r="Y88" s="1269"/>
    </row>
    <row r="89" spans="1:25" s="1245" customFormat="1" ht="15" customHeight="1" x14ac:dyDescent="0.2">
      <c r="A89" s="2844"/>
      <c r="B89" s="2845"/>
      <c r="C89" s="2846"/>
      <c r="D89" s="2705"/>
      <c r="E89" s="2133" t="s">
        <v>59</v>
      </c>
      <c r="F89" s="2526"/>
      <c r="G89" s="2526"/>
      <c r="H89" s="3840"/>
      <c r="I89" s="1238">
        <f t="shared" si="38"/>
        <v>0</v>
      </c>
      <c r="J89" s="726"/>
      <c r="K89" s="726"/>
      <c r="L89" s="727"/>
      <c r="M89" s="1238">
        <f t="shared" si="39"/>
        <v>26.6</v>
      </c>
      <c r="N89" s="726">
        <v>26.6</v>
      </c>
      <c r="O89" s="726">
        <v>7.8</v>
      </c>
      <c r="P89" s="727"/>
      <c r="Q89" s="1238">
        <f t="shared" si="33"/>
        <v>0</v>
      </c>
      <c r="R89" s="726"/>
      <c r="S89" s="726"/>
      <c r="T89" s="727"/>
      <c r="U89" s="1238">
        <f t="shared" si="34"/>
        <v>0</v>
      </c>
      <c r="V89" s="726"/>
      <c r="W89" s="726"/>
      <c r="X89" s="727"/>
      <c r="Y89" s="1269"/>
    </row>
    <row r="90" spans="1:25" s="1245" customFormat="1" ht="15" customHeight="1" x14ac:dyDescent="0.2">
      <c r="A90" s="2844"/>
      <c r="B90" s="2845"/>
      <c r="C90" s="2846"/>
      <c r="D90" s="2705"/>
      <c r="E90" s="2133" t="s">
        <v>1045</v>
      </c>
      <c r="F90" s="2526"/>
      <c r="G90" s="2526"/>
      <c r="H90" s="3840"/>
      <c r="I90" s="1238">
        <f t="shared" si="38"/>
        <v>0</v>
      </c>
      <c r="J90" s="726"/>
      <c r="K90" s="726"/>
      <c r="L90" s="727"/>
      <c r="M90" s="1238">
        <f t="shared" si="39"/>
        <v>15.2</v>
      </c>
      <c r="N90" s="726">
        <v>15.2</v>
      </c>
      <c r="O90" s="726">
        <v>5.7</v>
      </c>
      <c r="P90" s="727"/>
      <c r="Q90" s="1238">
        <f t="shared" si="33"/>
        <v>0</v>
      </c>
      <c r="R90" s="726"/>
      <c r="S90" s="726"/>
      <c r="T90" s="727"/>
      <c r="U90" s="1238">
        <f t="shared" si="34"/>
        <v>0</v>
      </c>
      <c r="V90" s="726"/>
      <c r="W90" s="726"/>
      <c r="X90" s="727"/>
      <c r="Y90" s="1269"/>
    </row>
    <row r="91" spans="1:25" s="1245" customFormat="1" ht="15" customHeight="1" x14ac:dyDescent="0.2">
      <c r="A91" s="2844"/>
      <c r="B91" s="2845"/>
      <c r="C91" s="2846"/>
      <c r="D91" s="2705"/>
      <c r="E91" s="2133" t="s">
        <v>1046</v>
      </c>
      <c r="F91" s="2526"/>
      <c r="G91" s="2526"/>
      <c r="H91" s="3840"/>
      <c r="I91" s="1238">
        <f t="shared" si="38"/>
        <v>0</v>
      </c>
      <c r="J91" s="726"/>
      <c r="K91" s="726"/>
      <c r="L91" s="727"/>
      <c r="M91" s="1238">
        <f t="shared" si="39"/>
        <v>10.6</v>
      </c>
      <c r="N91" s="726">
        <v>10.6</v>
      </c>
      <c r="O91" s="726">
        <v>2.2000000000000002</v>
      </c>
      <c r="P91" s="727"/>
      <c r="Q91" s="1238">
        <f t="shared" si="33"/>
        <v>0</v>
      </c>
      <c r="R91" s="726"/>
      <c r="S91" s="726"/>
      <c r="T91" s="727"/>
      <c r="U91" s="1238">
        <f t="shared" si="34"/>
        <v>0</v>
      </c>
      <c r="V91" s="726"/>
      <c r="W91" s="726"/>
      <c r="X91" s="727"/>
      <c r="Y91" s="1269"/>
    </row>
    <row r="92" spans="1:25" s="1245" customFormat="1" ht="15" customHeight="1" x14ac:dyDescent="0.2">
      <c r="A92" s="2844"/>
      <c r="B92" s="2845"/>
      <c r="C92" s="2846"/>
      <c r="D92" s="2705"/>
      <c r="E92" s="2133" t="s">
        <v>1047</v>
      </c>
      <c r="F92" s="2526"/>
      <c r="G92" s="2526"/>
      <c r="H92" s="3840"/>
      <c r="I92" s="1238">
        <f t="shared" si="38"/>
        <v>0</v>
      </c>
      <c r="J92" s="726"/>
      <c r="K92" s="726"/>
      <c r="L92" s="727"/>
      <c r="M92" s="1238">
        <f t="shared" si="39"/>
        <v>9.3000000000000007</v>
      </c>
      <c r="N92" s="726">
        <v>9.3000000000000007</v>
      </c>
      <c r="O92" s="726">
        <v>2.1</v>
      </c>
      <c r="P92" s="727"/>
      <c r="Q92" s="1238">
        <f t="shared" si="33"/>
        <v>0</v>
      </c>
      <c r="R92" s="726"/>
      <c r="S92" s="726"/>
      <c r="T92" s="727"/>
      <c r="U92" s="1238">
        <f t="shared" si="34"/>
        <v>0</v>
      </c>
      <c r="V92" s="726"/>
      <c r="W92" s="726"/>
      <c r="X92" s="727"/>
      <c r="Y92" s="1269"/>
    </row>
    <row r="93" spans="1:25" s="1245" customFormat="1" ht="15" customHeight="1" x14ac:dyDescent="0.2">
      <c r="A93" s="2844"/>
      <c r="B93" s="2845"/>
      <c r="C93" s="2846"/>
      <c r="D93" s="2705"/>
      <c r="E93" s="2133" t="s">
        <v>1048</v>
      </c>
      <c r="F93" s="2526"/>
      <c r="G93" s="2526"/>
      <c r="H93" s="3840"/>
      <c r="I93" s="1238">
        <f t="shared" si="38"/>
        <v>0</v>
      </c>
      <c r="J93" s="726"/>
      <c r="K93" s="726"/>
      <c r="L93" s="727"/>
      <c r="M93" s="1238">
        <f t="shared" si="39"/>
        <v>10.5</v>
      </c>
      <c r="N93" s="726">
        <v>10.5</v>
      </c>
      <c r="O93" s="726">
        <v>1</v>
      </c>
      <c r="P93" s="727"/>
      <c r="Q93" s="1238">
        <f t="shared" si="33"/>
        <v>0</v>
      </c>
      <c r="R93" s="726"/>
      <c r="S93" s="726"/>
      <c r="T93" s="727"/>
      <c r="U93" s="1238">
        <f t="shared" si="34"/>
        <v>0</v>
      </c>
      <c r="V93" s="726"/>
      <c r="W93" s="726"/>
      <c r="X93" s="727"/>
      <c r="Y93" s="1269"/>
    </row>
    <row r="94" spans="1:25" s="1245" customFormat="1" ht="15" customHeight="1" x14ac:dyDescent="0.2">
      <c r="A94" s="2844"/>
      <c r="B94" s="2845"/>
      <c r="C94" s="2846"/>
      <c r="D94" s="2705"/>
      <c r="E94" s="2133" t="s">
        <v>1049</v>
      </c>
      <c r="F94" s="2526"/>
      <c r="G94" s="2526"/>
      <c r="H94" s="3840"/>
      <c r="I94" s="1238">
        <f t="shared" si="38"/>
        <v>0</v>
      </c>
      <c r="J94" s="726"/>
      <c r="K94" s="726"/>
      <c r="L94" s="727"/>
      <c r="M94" s="1238">
        <f t="shared" si="39"/>
        <v>17</v>
      </c>
      <c r="N94" s="726">
        <v>17</v>
      </c>
      <c r="O94" s="726">
        <v>6.8</v>
      </c>
      <c r="P94" s="727"/>
      <c r="Q94" s="1238">
        <f t="shared" si="33"/>
        <v>0</v>
      </c>
      <c r="R94" s="726"/>
      <c r="S94" s="726"/>
      <c r="T94" s="727"/>
      <c r="U94" s="1238">
        <f t="shared" si="34"/>
        <v>0</v>
      </c>
      <c r="V94" s="726"/>
      <c r="W94" s="726"/>
      <c r="X94" s="727"/>
      <c r="Y94" s="1269"/>
    </row>
    <row r="95" spans="1:25" s="1245" customFormat="1" ht="15" customHeight="1" x14ac:dyDescent="0.2">
      <c r="A95" s="2844"/>
      <c r="B95" s="2845"/>
      <c r="C95" s="2846"/>
      <c r="D95" s="2705"/>
      <c r="E95" s="2133" t="s">
        <v>1050</v>
      </c>
      <c r="F95" s="2526"/>
      <c r="G95" s="2526"/>
      <c r="H95" s="3840"/>
      <c r="I95" s="1238">
        <f t="shared" si="38"/>
        <v>0</v>
      </c>
      <c r="J95" s="726"/>
      <c r="K95" s="726"/>
      <c r="L95" s="727"/>
      <c r="M95" s="1238">
        <f t="shared" si="39"/>
        <v>15</v>
      </c>
      <c r="N95" s="726">
        <v>15</v>
      </c>
      <c r="O95" s="726">
        <v>7.2</v>
      </c>
      <c r="P95" s="727"/>
      <c r="Q95" s="1238">
        <f t="shared" si="33"/>
        <v>0</v>
      </c>
      <c r="R95" s="726"/>
      <c r="S95" s="726"/>
      <c r="T95" s="727"/>
      <c r="U95" s="1238">
        <f t="shared" si="34"/>
        <v>0</v>
      </c>
      <c r="V95" s="726"/>
      <c r="W95" s="726"/>
      <c r="X95" s="727"/>
      <c r="Y95" s="1269"/>
    </row>
    <row r="96" spans="1:25" s="1245" customFormat="1" ht="15" customHeight="1" x14ac:dyDescent="0.2">
      <c r="A96" s="2844"/>
      <c r="B96" s="2845"/>
      <c r="C96" s="2846"/>
      <c r="D96" s="2705"/>
      <c r="E96" s="2133" t="s">
        <v>1051</v>
      </c>
      <c r="F96" s="2526"/>
      <c r="G96" s="2526"/>
      <c r="H96" s="3840"/>
      <c r="I96" s="1238">
        <f t="shared" si="38"/>
        <v>0</v>
      </c>
      <c r="J96" s="726"/>
      <c r="K96" s="726"/>
      <c r="L96" s="727"/>
      <c r="M96" s="1238">
        <f t="shared" si="39"/>
        <v>14.5</v>
      </c>
      <c r="N96" s="726">
        <v>14.5</v>
      </c>
      <c r="O96" s="726">
        <v>4.7</v>
      </c>
      <c r="P96" s="727"/>
      <c r="Q96" s="1238">
        <f t="shared" si="33"/>
        <v>0</v>
      </c>
      <c r="R96" s="726"/>
      <c r="S96" s="726"/>
      <c r="T96" s="727"/>
      <c r="U96" s="1238">
        <f t="shared" si="34"/>
        <v>0</v>
      </c>
      <c r="V96" s="726"/>
      <c r="W96" s="726"/>
      <c r="X96" s="727"/>
      <c r="Y96" s="1269"/>
    </row>
    <row r="97" spans="1:25" s="1245" customFormat="1" ht="15" customHeight="1" x14ac:dyDescent="0.2">
      <c r="A97" s="2844"/>
      <c r="B97" s="2845"/>
      <c r="C97" s="2846"/>
      <c r="D97" s="2705"/>
      <c r="E97" s="2133" t="s">
        <v>1052</v>
      </c>
      <c r="F97" s="2526"/>
      <c r="G97" s="2526"/>
      <c r="H97" s="3840"/>
      <c r="I97" s="1238">
        <f t="shared" si="38"/>
        <v>0</v>
      </c>
      <c r="J97" s="726"/>
      <c r="K97" s="726"/>
      <c r="L97" s="727"/>
      <c r="M97" s="1238">
        <f t="shared" si="39"/>
        <v>10.3</v>
      </c>
      <c r="N97" s="726">
        <v>10.3</v>
      </c>
      <c r="O97" s="726">
        <v>3.1</v>
      </c>
      <c r="P97" s="727"/>
      <c r="Q97" s="1238">
        <f t="shared" si="33"/>
        <v>0</v>
      </c>
      <c r="R97" s="726"/>
      <c r="S97" s="726"/>
      <c r="T97" s="727"/>
      <c r="U97" s="1238">
        <f t="shared" si="34"/>
        <v>0</v>
      </c>
      <c r="V97" s="726"/>
      <c r="W97" s="726"/>
      <c r="X97" s="727"/>
      <c r="Y97" s="1269"/>
    </row>
    <row r="98" spans="1:25" s="1245" customFormat="1" ht="15" customHeight="1" x14ac:dyDescent="0.2">
      <c r="A98" s="2844"/>
      <c r="B98" s="2845"/>
      <c r="C98" s="2846"/>
      <c r="D98" s="2705"/>
      <c r="E98" s="2133" t="s">
        <v>1053</v>
      </c>
      <c r="F98" s="2526"/>
      <c r="G98" s="2526"/>
      <c r="H98" s="3840"/>
      <c r="I98" s="1238">
        <f t="shared" si="38"/>
        <v>0</v>
      </c>
      <c r="J98" s="726"/>
      <c r="K98" s="726"/>
      <c r="L98" s="727"/>
      <c r="M98" s="1238">
        <f t="shared" si="39"/>
        <v>18.8</v>
      </c>
      <c r="N98" s="726">
        <v>18.8</v>
      </c>
      <c r="O98" s="726">
        <v>8.4</v>
      </c>
      <c r="P98" s="727"/>
      <c r="Q98" s="1238">
        <f t="shared" si="33"/>
        <v>0</v>
      </c>
      <c r="R98" s="726"/>
      <c r="S98" s="726"/>
      <c r="T98" s="727"/>
      <c r="U98" s="1238">
        <f t="shared" si="34"/>
        <v>0</v>
      </c>
      <c r="V98" s="726"/>
      <c r="W98" s="726"/>
      <c r="X98" s="727"/>
      <c r="Y98" s="1269"/>
    </row>
    <row r="99" spans="1:25" s="1245" customFormat="1" ht="15" customHeight="1" x14ac:dyDescent="0.2">
      <c r="A99" s="2844"/>
      <c r="B99" s="2845"/>
      <c r="C99" s="2846"/>
      <c r="D99" s="2705"/>
      <c r="E99" s="2133" t="s">
        <v>182</v>
      </c>
      <c r="F99" s="2526"/>
      <c r="G99" s="2526"/>
      <c r="H99" s="3840"/>
      <c r="I99" s="1238">
        <f t="shared" si="38"/>
        <v>0</v>
      </c>
      <c r="J99" s="726"/>
      <c r="K99" s="726"/>
      <c r="L99" s="727"/>
      <c r="M99" s="1238">
        <f t="shared" si="39"/>
        <v>16.7</v>
      </c>
      <c r="N99" s="726">
        <v>16.7</v>
      </c>
      <c r="O99" s="726">
        <v>7.1</v>
      </c>
      <c r="P99" s="727"/>
      <c r="Q99" s="1238">
        <f t="shared" si="33"/>
        <v>0</v>
      </c>
      <c r="R99" s="726"/>
      <c r="S99" s="726"/>
      <c r="T99" s="727"/>
      <c r="U99" s="1238">
        <f t="shared" si="34"/>
        <v>0</v>
      </c>
      <c r="V99" s="726"/>
      <c r="W99" s="726"/>
      <c r="X99" s="727"/>
      <c r="Y99" s="1269"/>
    </row>
    <row r="100" spans="1:25" s="1245" customFormat="1" ht="15" customHeight="1" x14ac:dyDescent="0.2">
      <c r="A100" s="2844"/>
      <c r="B100" s="2845"/>
      <c r="C100" s="2846"/>
      <c r="D100" s="2705"/>
      <c r="E100" s="2133" t="s">
        <v>1054</v>
      </c>
      <c r="F100" s="2526"/>
      <c r="G100" s="2526"/>
      <c r="H100" s="3840"/>
      <c r="I100" s="1238">
        <f t="shared" si="38"/>
        <v>0</v>
      </c>
      <c r="J100" s="726"/>
      <c r="K100" s="726"/>
      <c r="L100" s="727"/>
      <c r="M100" s="1238">
        <f t="shared" si="39"/>
        <v>15.4</v>
      </c>
      <c r="N100" s="726">
        <v>15.4</v>
      </c>
      <c r="O100" s="726">
        <v>5.2</v>
      </c>
      <c r="P100" s="727"/>
      <c r="Q100" s="1238">
        <f t="shared" si="33"/>
        <v>0</v>
      </c>
      <c r="R100" s="726"/>
      <c r="S100" s="726"/>
      <c r="T100" s="727"/>
      <c r="U100" s="1238">
        <f t="shared" si="34"/>
        <v>0</v>
      </c>
      <c r="V100" s="726"/>
      <c r="W100" s="726"/>
      <c r="X100" s="727"/>
      <c r="Y100" s="1269"/>
    </row>
    <row r="101" spans="1:25" s="1245" customFormat="1" ht="15" customHeight="1" x14ac:dyDescent="0.2">
      <c r="A101" s="2844"/>
      <c r="B101" s="2845"/>
      <c r="C101" s="2846"/>
      <c r="D101" s="2705"/>
      <c r="E101" s="2133" t="s">
        <v>1055</v>
      </c>
      <c r="F101" s="2526"/>
      <c r="G101" s="2526"/>
      <c r="H101" s="3840"/>
      <c r="I101" s="1238">
        <f t="shared" si="38"/>
        <v>0</v>
      </c>
      <c r="J101" s="726"/>
      <c r="K101" s="726"/>
      <c r="L101" s="727"/>
      <c r="M101" s="1238">
        <f t="shared" si="39"/>
        <v>6.8</v>
      </c>
      <c r="N101" s="726">
        <v>6.8</v>
      </c>
      <c r="O101" s="726">
        <v>2.6</v>
      </c>
      <c r="P101" s="727"/>
      <c r="Q101" s="1238">
        <f t="shared" si="33"/>
        <v>0</v>
      </c>
      <c r="R101" s="726"/>
      <c r="S101" s="726"/>
      <c r="T101" s="727"/>
      <c r="U101" s="1238">
        <f t="shared" si="34"/>
        <v>0</v>
      </c>
      <c r="V101" s="726"/>
      <c r="W101" s="726"/>
      <c r="X101" s="727"/>
      <c r="Y101" s="1269"/>
    </row>
    <row r="102" spans="1:25" s="1245" customFormat="1" ht="15" customHeight="1" x14ac:dyDescent="0.2">
      <c r="A102" s="2844"/>
      <c r="B102" s="2845"/>
      <c r="C102" s="2846"/>
      <c r="D102" s="2705"/>
      <c r="E102" s="2133" t="s">
        <v>1056</v>
      </c>
      <c r="F102" s="2526"/>
      <c r="G102" s="2526"/>
      <c r="H102" s="3840"/>
      <c r="I102" s="1238">
        <f t="shared" si="38"/>
        <v>0</v>
      </c>
      <c r="J102" s="726"/>
      <c r="K102" s="726"/>
      <c r="L102" s="727"/>
      <c r="M102" s="1238">
        <f t="shared" si="39"/>
        <v>13.6</v>
      </c>
      <c r="N102" s="726">
        <v>13.6</v>
      </c>
      <c r="O102" s="726">
        <v>6.2</v>
      </c>
      <c r="P102" s="727"/>
      <c r="Q102" s="1238">
        <f t="shared" si="33"/>
        <v>0</v>
      </c>
      <c r="R102" s="726"/>
      <c r="S102" s="726"/>
      <c r="T102" s="727"/>
      <c r="U102" s="1238">
        <f t="shared" si="34"/>
        <v>0</v>
      </c>
      <c r="V102" s="726"/>
      <c r="W102" s="726"/>
      <c r="X102" s="727"/>
      <c r="Y102" s="1269"/>
    </row>
    <row r="103" spans="1:25" s="1245" customFormat="1" ht="15" customHeight="1" x14ac:dyDescent="0.2">
      <c r="A103" s="2844"/>
      <c r="B103" s="2845"/>
      <c r="C103" s="2846"/>
      <c r="D103" s="2705"/>
      <c r="E103" s="2133" t="s">
        <v>1057</v>
      </c>
      <c r="F103" s="2526"/>
      <c r="G103" s="2526"/>
      <c r="H103" s="3840"/>
      <c r="I103" s="1238">
        <f t="shared" si="38"/>
        <v>0</v>
      </c>
      <c r="J103" s="726"/>
      <c r="K103" s="726"/>
      <c r="L103" s="727"/>
      <c r="M103" s="1238">
        <f t="shared" si="39"/>
        <v>2.7</v>
      </c>
      <c r="N103" s="726">
        <v>2.7</v>
      </c>
      <c r="O103" s="726">
        <v>1.3</v>
      </c>
      <c r="P103" s="727"/>
      <c r="Q103" s="1238">
        <f t="shared" si="33"/>
        <v>0</v>
      </c>
      <c r="R103" s="726"/>
      <c r="S103" s="726"/>
      <c r="T103" s="727"/>
      <c r="U103" s="1238">
        <f t="shared" si="34"/>
        <v>0</v>
      </c>
      <c r="V103" s="726"/>
      <c r="W103" s="726"/>
      <c r="X103" s="727"/>
      <c r="Y103" s="1269"/>
    </row>
    <row r="104" spans="1:25" s="1245" customFormat="1" ht="15" customHeight="1" x14ac:dyDescent="0.2">
      <c r="A104" s="2916">
        <v>1</v>
      </c>
      <c r="B104" s="2850">
        <v>1</v>
      </c>
      <c r="C104" s="2838">
        <v>21</v>
      </c>
      <c r="D104" s="3151" t="s">
        <v>1035</v>
      </c>
      <c r="E104" s="2133" t="s">
        <v>1058</v>
      </c>
      <c r="F104" s="2492" t="s">
        <v>983</v>
      </c>
      <c r="G104" s="2492" t="s">
        <v>1059</v>
      </c>
      <c r="H104" s="3840"/>
      <c r="I104" s="1238"/>
      <c r="J104" s="726"/>
      <c r="K104" s="726"/>
      <c r="L104" s="727"/>
      <c r="M104" s="1238">
        <f t="shared" si="39"/>
        <v>10.8</v>
      </c>
      <c r="N104" s="726">
        <v>10.8</v>
      </c>
      <c r="O104" s="726">
        <v>4.3</v>
      </c>
      <c r="P104" s="727"/>
      <c r="Q104" s="1238">
        <f t="shared" si="33"/>
        <v>0</v>
      </c>
      <c r="R104" s="726"/>
      <c r="S104" s="726"/>
      <c r="T104" s="727"/>
      <c r="U104" s="1238">
        <f t="shared" si="34"/>
        <v>0</v>
      </c>
      <c r="V104" s="726"/>
      <c r="W104" s="726"/>
      <c r="X104" s="727"/>
      <c r="Y104" s="1269"/>
    </row>
    <row r="105" spans="1:25" s="1245" customFormat="1" ht="15" customHeight="1" x14ac:dyDescent="0.2">
      <c r="A105" s="2920"/>
      <c r="B105" s="2851"/>
      <c r="C105" s="2853"/>
      <c r="D105" s="3159"/>
      <c r="E105" s="2133" t="s">
        <v>1060</v>
      </c>
      <c r="F105" s="2493"/>
      <c r="G105" s="2493"/>
      <c r="H105" s="3840"/>
      <c r="I105" s="1238">
        <f t="shared" si="38"/>
        <v>0</v>
      </c>
      <c r="J105" s="726"/>
      <c r="K105" s="726"/>
      <c r="L105" s="727"/>
      <c r="M105" s="1238">
        <f t="shared" si="39"/>
        <v>12.2</v>
      </c>
      <c r="N105" s="726">
        <v>12.2</v>
      </c>
      <c r="O105" s="726">
        <v>3.3</v>
      </c>
      <c r="P105" s="727"/>
      <c r="Q105" s="1238">
        <f t="shared" si="33"/>
        <v>0</v>
      </c>
      <c r="R105" s="726"/>
      <c r="S105" s="726"/>
      <c r="T105" s="727"/>
      <c r="U105" s="1238">
        <f t="shared" si="34"/>
        <v>0</v>
      </c>
      <c r="V105" s="726"/>
      <c r="W105" s="726"/>
      <c r="X105" s="727"/>
      <c r="Y105" s="1269"/>
    </row>
    <row r="106" spans="1:25" s="1245" customFormat="1" ht="15" customHeight="1" x14ac:dyDescent="0.2">
      <c r="A106" s="2920"/>
      <c r="B106" s="2851"/>
      <c r="C106" s="2853"/>
      <c r="D106" s="3159"/>
      <c r="E106" s="2133" t="s">
        <v>1061</v>
      </c>
      <c r="F106" s="2493"/>
      <c r="G106" s="2493"/>
      <c r="H106" s="3840"/>
      <c r="I106" s="1238">
        <f t="shared" si="38"/>
        <v>0</v>
      </c>
      <c r="J106" s="726"/>
      <c r="K106" s="726"/>
      <c r="L106" s="727"/>
      <c r="M106" s="1238">
        <f t="shared" si="39"/>
        <v>4.9000000000000004</v>
      </c>
      <c r="N106" s="726">
        <v>4.9000000000000004</v>
      </c>
      <c r="O106" s="726">
        <v>1.9</v>
      </c>
      <c r="P106" s="727"/>
      <c r="Q106" s="1238">
        <f t="shared" si="33"/>
        <v>0</v>
      </c>
      <c r="R106" s="726"/>
      <c r="S106" s="726"/>
      <c r="T106" s="727"/>
      <c r="U106" s="1238">
        <f t="shared" si="34"/>
        <v>0</v>
      </c>
      <c r="V106" s="726"/>
      <c r="W106" s="726"/>
      <c r="X106" s="727"/>
      <c r="Y106" s="1269"/>
    </row>
    <row r="107" spans="1:25" s="1245" customFormat="1" ht="15" customHeight="1" x14ac:dyDescent="0.2">
      <c r="A107" s="2920"/>
      <c r="B107" s="2851"/>
      <c r="C107" s="2853"/>
      <c r="D107" s="3159"/>
      <c r="E107" s="2133" t="s">
        <v>1062</v>
      </c>
      <c r="F107" s="2493"/>
      <c r="G107" s="2493"/>
      <c r="H107" s="3840"/>
      <c r="I107" s="1238">
        <f t="shared" si="38"/>
        <v>0</v>
      </c>
      <c r="J107" s="726"/>
      <c r="K107" s="726"/>
      <c r="L107" s="727"/>
      <c r="M107" s="1238">
        <f t="shared" si="39"/>
        <v>3</v>
      </c>
      <c r="N107" s="726">
        <v>3</v>
      </c>
      <c r="O107" s="726">
        <v>0.5</v>
      </c>
      <c r="P107" s="727"/>
      <c r="Q107" s="1238">
        <f t="shared" si="33"/>
        <v>0</v>
      </c>
      <c r="R107" s="726"/>
      <c r="S107" s="726"/>
      <c r="T107" s="727"/>
      <c r="U107" s="1238">
        <f t="shared" si="34"/>
        <v>0</v>
      </c>
      <c r="V107" s="726"/>
      <c r="W107" s="726"/>
      <c r="X107" s="727"/>
      <c r="Y107" s="1269"/>
    </row>
    <row r="108" spans="1:25" s="1245" customFormat="1" ht="15" customHeight="1" x14ac:dyDescent="0.2">
      <c r="A108" s="2920"/>
      <c r="B108" s="2851"/>
      <c r="C108" s="2853"/>
      <c r="D108" s="3159"/>
      <c r="E108" s="2133" t="s">
        <v>1063</v>
      </c>
      <c r="F108" s="2493"/>
      <c r="G108" s="2493"/>
      <c r="H108" s="3840"/>
      <c r="I108" s="1238">
        <f t="shared" si="38"/>
        <v>0</v>
      </c>
      <c r="J108" s="726"/>
      <c r="K108" s="726"/>
      <c r="L108" s="727"/>
      <c r="M108" s="1238">
        <f t="shared" si="39"/>
        <v>5.6</v>
      </c>
      <c r="N108" s="726">
        <v>5.6</v>
      </c>
      <c r="O108" s="726">
        <v>2.6</v>
      </c>
      <c r="P108" s="727"/>
      <c r="Q108" s="1238">
        <f t="shared" si="33"/>
        <v>0</v>
      </c>
      <c r="R108" s="726"/>
      <c r="S108" s="726"/>
      <c r="T108" s="727"/>
      <c r="U108" s="1238">
        <f t="shared" si="34"/>
        <v>0</v>
      </c>
      <c r="V108" s="726"/>
      <c r="W108" s="726"/>
      <c r="X108" s="727"/>
      <c r="Y108" s="1269"/>
    </row>
    <row r="109" spans="1:25" s="1245" customFormat="1" ht="15" customHeight="1" x14ac:dyDescent="0.2">
      <c r="A109" s="2920"/>
      <c r="B109" s="2851"/>
      <c r="C109" s="2853"/>
      <c r="D109" s="3159"/>
      <c r="E109" s="2133" t="s">
        <v>1064</v>
      </c>
      <c r="F109" s="2493"/>
      <c r="G109" s="2493"/>
      <c r="H109" s="3840"/>
      <c r="I109" s="1238">
        <f t="shared" si="38"/>
        <v>0</v>
      </c>
      <c r="J109" s="726"/>
      <c r="K109" s="726"/>
      <c r="L109" s="727"/>
      <c r="M109" s="1238">
        <f t="shared" si="39"/>
        <v>4</v>
      </c>
      <c r="N109" s="726">
        <v>4</v>
      </c>
      <c r="O109" s="726">
        <v>0.7</v>
      </c>
      <c r="P109" s="727"/>
      <c r="Q109" s="1238">
        <f t="shared" si="33"/>
        <v>0</v>
      </c>
      <c r="R109" s="726"/>
      <c r="S109" s="726"/>
      <c r="T109" s="727"/>
      <c r="U109" s="1238">
        <f t="shared" si="34"/>
        <v>0</v>
      </c>
      <c r="V109" s="726"/>
      <c r="W109" s="726"/>
      <c r="X109" s="727"/>
      <c r="Y109" s="1269"/>
    </row>
    <row r="110" spans="1:25" s="1245" customFormat="1" ht="15" customHeight="1" x14ac:dyDescent="0.2">
      <c r="A110" s="2920"/>
      <c r="B110" s="2851"/>
      <c r="C110" s="2853"/>
      <c r="D110" s="3159"/>
      <c r="E110" s="2133" t="s">
        <v>1065</v>
      </c>
      <c r="F110" s="2493"/>
      <c r="G110" s="2493"/>
      <c r="H110" s="3840"/>
      <c r="I110" s="1238">
        <f t="shared" si="38"/>
        <v>0</v>
      </c>
      <c r="J110" s="726"/>
      <c r="K110" s="726"/>
      <c r="L110" s="727"/>
      <c r="M110" s="1238">
        <f t="shared" si="39"/>
        <v>13.3</v>
      </c>
      <c r="N110" s="726">
        <v>13.3</v>
      </c>
      <c r="O110" s="726">
        <v>3.4</v>
      </c>
      <c r="P110" s="727"/>
      <c r="Q110" s="1238">
        <f t="shared" si="33"/>
        <v>0</v>
      </c>
      <c r="R110" s="726"/>
      <c r="S110" s="726"/>
      <c r="T110" s="727"/>
      <c r="U110" s="1238">
        <f t="shared" si="34"/>
        <v>0</v>
      </c>
      <c r="V110" s="726"/>
      <c r="W110" s="726"/>
      <c r="X110" s="727"/>
      <c r="Y110" s="1269"/>
    </row>
    <row r="111" spans="1:25" s="1245" customFormat="1" ht="15" customHeight="1" x14ac:dyDescent="0.2">
      <c r="A111" s="2920"/>
      <c r="B111" s="2851"/>
      <c r="C111" s="2853"/>
      <c r="D111" s="3159"/>
      <c r="E111" s="2133" t="s">
        <v>1066</v>
      </c>
      <c r="F111" s="2493"/>
      <c r="G111" s="2493"/>
      <c r="H111" s="3840"/>
      <c r="I111" s="1238">
        <f t="shared" si="38"/>
        <v>0</v>
      </c>
      <c r="J111" s="726"/>
      <c r="K111" s="726"/>
      <c r="L111" s="727"/>
      <c r="M111" s="1238">
        <f t="shared" si="39"/>
        <v>2.9</v>
      </c>
      <c r="N111" s="726">
        <v>2.9</v>
      </c>
      <c r="O111" s="726"/>
      <c r="P111" s="727"/>
      <c r="Q111" s="1238">
        <f t="shared" si="33"/>
        <v>0</v>
      </c>
      <c r="R111" s="726"/>
      <c r="S111" s="726"/>
      <c r="T111" s="727"/>
      <c r="U111" s="1238">
        <f t="shared" si="34"/>
        <v>0</v>
      </c>
      <c r="V111" s="726"/>
      <c r="W111" s="726"/>
      <c r="X111" s="727"/>
      <c r="Y111" s="1269"/>
    </row>
    <row r="112" spans="1:25" s="1245" customFormat="1" ht="15" customHeight="1" x14ac:dyDescent="0.2">
      <c r="A112" s="2920"/>
      <c r="B112" s="2851"/>
      <c r="C112" s="2853"/>
      <c r="D112" s="3159"/>
      <c r="E112" s="2133" t="s">
        <v>1067</v>
      </c>
      <c r="F112" s="2493"/>
      <c r="G112" s="2493"/>
      <c r="H112" s="3840"/>
      <c r="I112" s="1238">
        <f t="shared" si="38"/>
        <v>0</v>
      </c>
      <c r="J112" s="726"/>
      <c r="K112" s="726"/>
      <c r="L112" s="727"/>
      <c r="M112" s="1238">
        <f t="shared" si="39"/>
        <v>4.2</v>
      </c>
      <c r="N112" s="726">
        <v>4.2</v>
      </c>
      <c r="O112" s="726">
        <v>1.5</v>
      </c>
      <c r="P112" s="727"/>
      <c r="Q112" s="1238">
        <f t="shared" si="33"/>
        <v>0</v>
      </c>
      <c r="R112" s="726"/>
      <c r="S112" s="726"/>
      <c r="T112" s="727"/>
      <c r="U112" s="1238">
        <f t="shared" si="34"/>
        <v>0</v>
      </c>
      <c r="V112" s="726"/>
      <c r="W112" s="726"/>
      <c r="X112" s="727"/>
      <c r="Y112" s="1269"/>
    </row>
    <row r="113" spans="1:25" s="1245" customFormat="1" ht="15" customHeight="1" x14ac:dyDescent="0.2">
      <c r="A113" s="2920"/>
      <c r="B113" s="2851"/>
      <c r="C113" s="2853"/>
      <c r="D113" s="3159"/>
      <c r="E113" s="2133" t="s">
        <v>1068</v>
      </c>
      <c r="F113" s="2493"/>
      <c r="G113" s="2493"/>
      <c r="H113" s="3840"/>
      <c r="I113" s="1238">
        <f t="shared" si="38"/>
        <v>0</v>
      </c>
      <c r="J113" s="726"/>
      <c r="K113" s="726"/>
      <c r="L113" s="727"/>
      <c r="M113" s="1238">
        <f t="shared" si="39"/>
        <v>2.1</v>
      </c>
      <c r="N113" s="726">
        <v>2.1</v>
      </c>
      <c r="O113" s="726">
        <v>0.8</v>
      </c>
      <c r="P113" s="727"/>
      <c r="Q113" s="1238">
        <f t="shared" si="33"/>
        <v>0</v>
      </c>
      <c r="R113" s="726"/>
      <c r="S113" s="726"/>
      <c r="T113" s="727"/>
      <c r="U113" s="1238">
        <f t="shared" si="34"/>
        <v>0</v>
      </c>
      <c r="V113" s="726"/>
      <c r="W113" s="726"/>
      <c r="X113" s="727"/>
      <c r="Y113" s="1269"/>
    </row>
    <row r="114" spans="1:25" s="1245" customFormat="1" ht="15" customHeight="1" x14ac:dyDescent="0.2">
      <c r="A114" s="2920"/>
      <c r="B114" s="2851"/>
      <c r="C114" s="2853"/>
      <c r="D114" s="3159"/>
      <c r="E114" s="2133" t="s">
        <v>1069</v>
      </c>
      <c r="F114" s="2493"/>
      <c r="G114" s="2493"/>
      <c r="H114" s="3840"/>
      <c r="I114" s="1238">
        <f t="shared" si="38"/>
        <v>0</v>
      </c>
      <c r="J114" s="726"/>
      <c r="K114" s="726"/>
      <c r="L114" s="727"/>
      <c r="M114" s="1238">
        <f t="shared" si="39"/>
        <v>3</v>
      </c>
      <c r="N114" s="726">
        <v>3</v>
      </c>
      <c r="O114" s="726">
        <v>0.4</v>
      </c>
      <c r="P114" s="727"/>
      <c r="Q114" s="1238">
        <f t="shared" si="33"/>
        <v>0</v>
      </c>
      <c r="R114" s="726"/>
      <c r="S114" s="726"/>
      <c r="T114" s="727"/>
      <c r="U114" s="1238">
        <f t="shared" si="34"/>
        <v>0</v>
      </c>
      <c r="V114" s="726"/>
      <c r="W114" s="726"/>
      <c r="X114" s="727"/>
      <c r="Y114" s="1269"/>
    </row>
    <row r="115" spans="1:25" s="1245" customFormat="1" ht="15" customHeight="1" x14ac:dyDescent="0.2">
      <c r="A115" s="2920"/>
      <c r="B115" s="2851"/>
      <c r="C115" s="2853"/>
      <c r="D115" s="3159"/>
      <c r="E115" s="2133" t="s">
        <v>1070</v>
      </c>
      <c r="F115" s="2493"/>
      <c r="G115" s="2493"/>
      <c r="H115" s="3840"/>
      <c r="I115" s="1238">
        <f t="shared" si="38"/>
        <v>0</v>
      </c>
      <c r="J115" s="726"/>
      <c r="K115" s="726"/>
      <c r="L115" s="727"/>
      <c r="M115" s="1238">
        <f t="shared" si="39"/>
        <v>8.9</v>
      </c>
      <c r="N115" s="726">
        <v>8.9</v>
      </c>
      <c r="O115" s="726">
        <v>2.5</v>
      </c>
      <c r="P115" s="727"/>
      <c r="Q115" s="1238">
        <f t="shared" si="33"/>
        <v>0</v>
      </c>
      <c r="R115" s="726"/>
      <c r="S115" s="726"/>
      <c r="T115" s="727"/>
      <c r="U115" s="1238">
        <f t="shared" si="34"/>
        <v>0</v>
      </c>
      <c r="V115" s="726"/>
      <c r="W115" s="726"/>
      <c r="X115" s="727"/>
      <c r="Y115" s="1269"/>
    </row>
    <row r="116" spans="1:25" s="1245" customFormat="1" ht="15" customHeight="1" x14ac:dyDescent="0.2">
      <c r="A116" s="2920"/>
      <c r="B116" s="2851"/>
      <c r="C116" s="2853"/>
      <c r="D116" s="3159"/>
      <c r="E116" s="2133" t="s">
        <v>562</v>
      </c>
      <c r="F116" s="2493"/>
      <c r="G116" s="2493"/>
      <c r="H116" s="3840"/>
      <c r="I116" s="1238">
        <f t="shared" si="38"/>
        <v>0</v>
      </c>
      <c r="J116" s="726"/>
      <c r="K116" s="726"/>
      <c r="L116" s="727"/>
      <c r="M116" s="1238">
        <f t="shared" si="39"/>
        <v>11.7</v>
      </c>
      <c r="N116" s="726">
        <v>11.7</v>
      </c>
      <c r="O116" s="726">
        <v>5.5</v>
      </c>
      <c r="P116" s="727"/>
      <c r="Q116" s="1238">
        <f t="shared" si="33"/>
        <v>0</v>
      </c>
      <c r="R116" s="726"/>
      <c r="S116" s="726"/>
      <c r="T116" s="727"/>
      <c r="U116" s="1238">
        <f t="shared" si="34"/>
        <v>0</v>
      </c>
      <c r="V116" s="726"/>
      <c r="W116" s="726"/>
      <c r="X116" s="727"/>
      <c r="Y116" s="1269"/>
    </row>
    <row r="117" spans="1:25" s="1245" customFormat="1" ht="15" customHeight="1" x14ac:dyDescent="0.2">
      <c r="A117" s="2920"/>
      <c r="B117" s="2851"/>
      <c r="C117" s="2853"/>
      <c r="D117" s="3159"/>
      <c r="E117" s="2133" t="s">
        <v>1071</v>
      </c>
      <c r="F117" s="2493"/>
      <c r="G117" s="2493"/>
      <c r="H117" s="3840"/>
      <c r="I117" s="1238">
        <f t="shared" si="38"/>
        <v>0</v>
      </c>
      <c r="J117" s="726"/>
      <c r="K117" s="726"/>
      <c r="L117" s="727"/>
      <c r="M117" s="1238">
        <f t="shared" si="39"/>
        <v>10.199999999999999</v>
      </c>
      <c r="N117" s="726">
        <v>10.199999999999999</v>
      </c>
      <c r="O117" s="726">
        <v>1.8</v>
      </c>
      <c r="P117" s="727"/>
      <c r="Q117" s="1238">
        <f t="shared" si="33"/>
        <v>0</v>
      </c>
      <c r="R117" s="726"/>
      <c r="S117" s="726"/>
      <c r="T117" s="727"/>
      <c r="U117" s="1238">
        <f t="shared" si="34"/>
        <v>0</v>
      </c>
      <c r="V117" s="726"/>
      <c r="W117" s="726"/>
      <c r="X117" s="727"/>
      <c r="Y117" s="1269"/>
    </row>
    <row r="118" spans="1:25" s="1245" customFormat="1" ht="15" customHeight="1" x14ac:dyDescent="0.2">
      <c r="A118" s="2920"/>
      <c r="B118" s="2851"/>
      <c r="C118" s="2853"/>
      <c r="D118" s="3159"/>
      <c r="E118" s="2133" t="s">
        <v>1072</v>
      </c>
      <c r="F118" s="2493"/>
      <c r="G118" s="2493"/>
      <c r="H118" s="3840"/>
      <c r="I118" s="1238">
        <f t="shared" si="38"/>
        <v>0</v>
      </c>
      <c r="J118" s="726"/>
      <c r="K118" s="726"/>
      <c r="L118" s="727"/>
      <c r="M118" s="1238">
        <f t="shared" si="39"/>
        <v>7.5</v>
      </c>
      <c r="N118" s="726">
        <v>7.5</v>
      </c>
      <c r="O118" s="726">
        <v>2.6</v>
      </c>
      <c r="P118" s="727"/>
      <c r="Q118" s="1238">
        <f t="shared" si="33"/>
        <v>0</v>
      </c>
      <c r="R118" s="726"/>
      <c r="S118" s="726"/>
      <c r="T118" s="727"/>
      <c r="U118" s="1238">
        <f t="shared" si="34"/>
        <v>0</v>
      </c>
      <c r="V118" s="726"/>
      <c r="W118" s="726"/>
      <c r="X118" s="727"/>
      <c r="Y118" s="1269"/>
    </row>
    <row r="119" spans="1:25" s="1245" customFormat="1" ht="15" customHeight="1" thickBot="1" x14ac:dyDescent="0.25">
      <c r="A119" s="2920"/>
      <c r="B119" s="2851"/>
      <c r="C119" s="2853"/>
      <c r="D119" s="2725"/>
      <c r="E119" s="2133" t="s">
        <v>1073</v>
      </c>
      <c r="F119" s="2493"/>
      <c r="G119" s="2493"/>
      <c r="H119" s="3840"/>
      <c r="I119" s="1292">
        <f t="shared" si="38"/>
        <v>0</v>
      </c>
      <c r="J119" s="734"/>
      <c r="K119" s="734"/>
      <c r="L119" s="735"/>
      <c r="M119" s="1292">
        <f t="shared" si="39"/>
        <v>3.8</v>
      </c>
      <c r="N119" s="734">
        <v>3.8</v>
      </c>
      <c r="O119" s="734">
        <v>1.6</v>
      </c>
      <c r="P119" s="735"/>
      <c r="Q119" s="1292">
        <f t="shared" si="33"/>
        <v>0</v>
      </c>
      <c r="R119" s="734"/>
      <c r="S119" s="734"/>
      <c r="T119" s="735"/>
      <c r="U119" s="1292">
        <f t="shared" si="34"/>
        <v>0</v>
      </c>
      <c r="V119" s="734"/>
      <c r="W119" s="734"/>
      <c r="X119" s="735"/>
      <c r="Y119" s="1269"/>
    </row>
    <row r="120" spans="1:25" s="1245" customFormat="1" ht="19.149999999999999" customHeight="1" thickBot="1" x14ac:dyDescent="0.25">
      <c r="A120" s="2917"/>
      <c r="B120" s="2852"/>
      <c r="C120" s="2839"/>
      <c r="D120" s="1278"/>
      <c r="E120" s="1279"/>
      <c r="F120" s="2777" t="s">
        <v>35</v>
      </c>
      <c r="G120" s="2778"/>
      <c r="H120" s="2779"/>
      <c r="I120" s="663">
        <f>SUM(J120+L120)</f>
        <v>100.4</v>
      </c>
      <c r="J120" s="664">
        <f>SUM(J79)</f>
        <v>22</v>
      </c>
      <c r="K120" s="664">
        <f>SUM(K79)</f>
        <v>5.4</v>
      </c>
      <c r="L120" s="662">
        <f>SUM(L79)</f>
        <v>78.400000000000006</v>
      </c>
      <c r="M120" s="663">
        <f t="shared" ref="M120" si="40">SUM(N120+P120)</f>
        <v>1102.3999999999999</v>
      </c>
      <c r="N120" s="664">
        <f>SUM(N79:N119)</f>
        <v>1102.3999999999999</v>
      </c>
      <c r="O120" s="664">
        <f>SUM(O79:O119)</f>
        <v>652.70000000000005</v>
      </c>
      <c r="P120" s="664">
        <f>SUM(P79:P119)</f>
        <v>0</v>
      </c>
      <c r="Q120" s="663">
        <f t="shared" si="33"/>
        <v>635.6</v>
      </c>
      <c r="R120" s="664">
        <f>SUM(R79:R119)</f>
        <v>635.6</v>
      </c>
      <c r="S120" s="664">
        <f>SUM(S79:S119)</f>
        <v>502.1</v>
      </c>
      <c r="T120" s="664">
        <f>SUM(T79:T119)</f>
        <v>0</v>
      </c>
      <c r="U120" s="663">
        <f t="shared" si="34"/>
        <v>635.6</v>
      </c>
      <c r="V120" s="664">
        <f>SUM(V79:V119)</f>
        <v>635.6</v>
      </c>
      <c r="W120" s="664">
        <f>SUM(W79:W119)</f>
        <v>502.1</v>
      </c>
      <c r="X120" s="662">
        <f>SUM(X79:X119)</f>
        <v>0</v>
      </c>
      <c r="Y120" s="1269"/>
    </row>
    <row r="121" spans="1:25" s="1245" customFormat="1" ht="18" customHeight="1" thickBot="1" x14ac:dyDescent="0.25">
      <c r="A121" s="2132">
        <v>1</v>
      </c>
      <c r="B121" s="1281">
        <v>1</v>
      </c>
      <c r="C121" s="3833" t="s">
        <v>234</v>
      </c>
      <c r="D121" s="3834"/>
      <c r="E121" s="3834"/>
      <c r="F121" s="3835"/>
      <c r="G121" s="3835"/>
      <c r="H121" s="3836"/>
      <c r="I121" s="1282">
        <f>SUM(J121+L121)</f>
        <v>5681.0999999999976</v>
      </c>
      <c r="J121" s="1283">
        <f>SUM(J16+J35+J38+J40+J43+J45+J47+J49+J52+J55+J57+J60+J63+J65+J67+J69+J72+J74+J76+J78+J120)</f>
        <v>5397.699999999998</v>
      </c>
      <c r="K121" s="1283">
        <f>SUM(K16+K35+K38+K40+K43+K45+K47+K49+K52+K55+K57+K60+K63+K65+K67+K69+K72+K74+K76+K78+K120)</f>
        <v>4171.9000000000005</v>
      </c>
      <c r="L121" s="1283">
        <f>SUM(L16+L35+L38+L40+L43+L45+L47+L49+L52+L55+L57+L60+L63+L65+L67+L69+L72+L74+L76+L78+L120)</f>
        <v>283.39999999999998</v>
      </c>
      <c r="M121" s="1282">
        <f>SUM(N121+P121)</f>
        <v>8045.5</v>
      </c>
      <c r="N121" s="1283">
        <f>SUM(N16+N35+N38+N40+N43+N45+N47+N49+N52+N55+N57+N60+N63+N65+N67+N69+N72+N74+N76+N78+N120)</f>
        <v>7810.5</v>
      </c>
      <c r="O121" s="1283">
        <f>SUM(O16+O35+O38+O40+O43+O45+O47+O49+O52+O55+O57+O60+O63+O65+O67+O69+O72+O74+O76+O78+O120)</f>
        <v>5731.4</v>
      </c>
      <c r="P121" s="1283">
        <f>SUM(P16+P35+P38+P40+P43+P45+P47+P49+P52+P55+P57+P60+P63+P65+P67+P69+P72+P74+P76+P78+P120)</f>
        <v>235</v>
      </c>
      <c r="Q121" s="1282">
        <f>SUM(R121+T121)</f>
        <v>7308.1000000000013</v>
      </c>
      <c r="R121" s="1283">
        <f>SUM(R16+R35+R38+R40+R43+R45+R47+R49+R52+R55+R57+R60+R63+R65+R67+R69+R72+R74+R76+R78+R120)</f>
        <v>7103.1000000000013</v>
      </c>
      <c r="S121" s="1283">
        <f>SUM(S16+S35+S38+S40+S43+S45+S47+S49+S52+S55+S57+S60+S63+S65+S67+S69+S72+S74+S76+S78+S120)</f>
        <v>5580.8</v>
      </c>
      <c r="T121" s="1283">
        <f>SUM(T16+T35+T38+T40+T43+T45+T47+T49+T52+T55+T57+T60+T63+T65+T67+T69+T72+T74+T76+T78+T120)</f>
        <v>205</v>
      </c>
      <c r="U121" s="1282">
        <f>SUM(V121+X121)</f>
        <v>7308.1000000000013</v>
      </c>
      <c r="V121" s="1283">
        <f>SUM(V16+V35+V38+V40+V43+V45+V47+V49+V52+V55+V57+V60+V63+V65+V67+V69+V72+V74+V76+V78+V120)</f>
        <v>7103.1000000000013</v>
      </c>
      <c r="W121" s="1283">
        <f>SUM(W16+W35+W38+W40+W43+W45+W47+W49+W52+W55+W57+W60+W63+W65+W67+W69+W72+W74+W76+W78+W120)</f>
        <v>5580.8</v>
      </c>
      <c r="X121" s="2318">
        <f>SUM(X16+X35+X38+X40+X43+X45+X47+X49+X52+X55+X57+X60+X63+X65+X67+X69+X72+X74+X76+X78+X120)</f>
        <v>205</v>
      </c>
      <c r="Y121" s="2312"/>
    </row>
    <row r="122" spans="1:25" s="1245" customFormat="1" ht="18.600000000000001" customHeight="1" thickBot="1" x14ac:dyDescent="0.25">
      <c r="A122" s="2139">
        <v>1</v>
      </c>
      <c r="B122" s="597">
        <v>2</v>
      </c>
      <c r="C122" s="2590" t="s">
        <v>1074</v>
      </c>
      <c r="D122" s="2591"/>
      <c r="E122" s="2591"/>
      <c r="F122" s="2591"/>
      <c r="G122" s="2591"/>
      <c r="H122" s="2591"/>
      <c r="I122" s="2553"/>
      <c r="J122" s="2553"/>
      <c r="K122" s="2553"/>
      <c r="L122" s="2553"/>
      <c r="M122" s="2553"/>
      <c r="N122" s="2553"/>
      <c r="O122" s="2553"/>
      <c r="P122" s="2553"/>
      <c r="Q122" s="2553"/>
      <c r="R122" s="2553"/>
      <c r="S122" s="2553"/>
      <c r="T122" s="2553"/>
      <c r="U122" s="2553"/>
      <c r="V122" s="2553"/>
      <c r="W122" s="2553"/>
      <c r="X122" s="2554"/>
      <c r="Y122" s="354"/>
    </row>
    <row r="123" spans="1:25" ht="19.5" customHeight="1" thickBot="1" x14ac:dyDescent="0.25">
      <c r="A123" s="2916">
        <v>1</v>
      </c>
      <c r="B123" s="2850">
        <v>2</v>
      </c>
      <c r="C123" s="3802">
        <v>1</v>
      </c>
      <c r="D123" s="3838" t="s">
        <v>1075</v>
      </c>
      <c r="E123" s="3821">
        <v>8</v>
      </c>
      <c r="F123" s="2230" t="s">
        <v>1076</v>
      </c>
      <c r="G123" s="2230" t="s">
        <v>1077</v>
      </c>
      <c r="H123" s="2236" t="s">
        <v>33</v>
      </c>
      <c r="I123" s="1238">
        <f>SUM(J123+L123)</f>
        <v>1</v>
      </c>
      <c r="J123" s="726">
        <v>1</v>
      </c>
      <c r="K123" s="726">
        <v>1</v>
      </c>
      <c r="L123" s="728"/>
      <c r="M123" s="1246">
        <f>SUM(N123+P123)</f>
        <v>1</v>
      </c>
      <c r="N123" s="726">
        <v>1</v>
      </c>
      <c r="O123" s="726">
        <v>1</v>
      </c>
      <c r="P123" s="727"/>
      <c r="Q123" s="1246">
        <f t="shared" ref="Q123:Q159" si="41">SUM(R123+T123)</f>
        <v>1</v>
      </c>
      <c r="R123" s="726">
        <v>1</v>
      </c>
      <c r="S123" s="726">
        <v>1</v>
      </c>
      <c r="T123" s="728"/>
      <c r="U123" s="1246">
        <f t="shared" ref="U123:U186" si="42">SUM(V123+X123)</f>
        <v>1</v>
      </c>
      <c r="V123" s="726">
        <v>1</v>
      </c>
      <c r="W123" s="726">
        <v>1</v>
      </c>
      <c r="X123" s="1239"/>
      <c r="Y123" s="354"/>
    </row>
    <row r="124" spans="1:25" s="1245" customFormat="1" ht="15" customHeight="1" thickBot="1" x14ac:dyDescent="0.25">
      <c r="A124" s="2917"/>
      <c r="B124" s="2852"/>
      <c r="C124" s="3837"/>
      <c r="D124" s="3799"/>
      <c r="E124" s="3839"/>
      <c r="F124" s="2777" t="s">
        <v>35</v>
      </c>
      <c r="G124" s="2778"/>
      <c r="H124" s="2779"/>
      <c r="I124" s="714">
        <f>SUM(J124+L124)</f>
        <v>1</v>
      </c>
      <c r="J124" s="711">
        <f>SUM(J123)</f>
        <v>1</v>
      </c>
      <c r="K124" s="711">
        <f>SUM(K123)</f>
        <v>1</v>
      </c>
      <c r="L124" s="712">
        <f>SUM(L123)</f>
        <v>0</v>
      </c>
      <c r="M124" s="714">
        <f>SUM(N124+P124)</f>
        <v>1</v>
      </c>
      <c r="N124" s="711">
        <f>SUM(N123)</f>
        <v>1</v>
      </c>
      <c r="O124" s="711">
        <f>SUM(O123)</f>
        <v>1</v>
      </c>
      <c r="P124" s="712">
        <f>SUM(P123)</f>
        <v>0</v>
      </c>
      <c r="Q124" s="714">
        <f t="shared" si="41"/>
        <v>1</v>
      </c>
      <c r="R124" s="711">
        <f>SUM(R123)</f>
        <v>1</v>
      </c>
      <c r="S124" s="711">
        <f>SUM(S123)</f>
        <v>1</v>
      </c>
      <c r="T124" s="712">
        <f>SUM(T123)</f>
        <v>0</v>
      </c>
      <c r="U124" s="714">
        <f t="shared" si="42"/>
        <v>1</v>
      </c>
      <c r="V124" s="711">
        <f>SUM(V123)</f>
        <v>1</v>
      </c>
      <c r="W124" s="711">
        <f>SUM(W123)</f>
        <v>1</v>
      </c>
      <c r="X124" s="662">
        <f>SUM(X123)</f>
        <v>0</v>
      </c>
      <c r="Y124" s="354"/>
    </row>
    <row r="125" spans="1:25" ht="21" customHeight="1" x14ac:dyDescent="0.2">
      <c r="A125" s="2844">
        <v>1</v>
      </c>
      <c r="B125" s="2845">
        <v>2</v>
      </c>
      <c r="C125" s="3806">
        <v>2</v>
      </c>
      <c r="D125" s="3829" t="s">
        <v>1078</v>
      </c>
      <c r="E125" s="3787">
        <v>3</v>
      </c>
      <c r="F125" s="3802" t="s">
        <v>1079</v>
      </c>
      <c r="G125" s="3802" t="s">
        <v>1080</v>
      </c>
      <c r="H125" s="1284" t="s">
        <v>33</v>
      </c>
      <c r="I125" s="1238">
        <f>SUM(J125)</f>
        <v>16.8</v>
      </c>
      <c r="J125" s="726">
        <v>16.8</v>
      </c>
      <c r="K125" s="726">
        <v>13.9</v>
      </c>
      <c r="L125" s="728"/>
      <c r="M125" s="1246">
        <f>SUM(N125+P125)</f>
        <v>17.399999999999999</v>
      </c>
      <c r="N125" s="726">
        <v>17.399999999999999</v>
      </c>
      <c r="O125" s="726">
        <v>14.5</v>
      </c>
      <c r="P125" s="727"/>
      <c r="Q125" s="1246">
        <f t="shared" si="41"/>
        <v>16.8</v>
      </c>
      <c r="R125" s="726">
        <v>16.8</v>
      </c>
      <c r="S125" s="726">
        <v>13.9</v>
      </c>
      <c r="T125" s="728"/>
      <c r="U125" s="1246">
        <f t="shared" si="42"/>
        <v>16.8</v>
      </c>
      <c r="V125" s="726">
        <v>16.8</v>
      </c>
      <c r="W125" s="726">
        <v>13.9</v>
      </c>
      <c r="X125" s="1239"/>
      <c r="Y125" s="354"/>
    </row>
    <row r="126" spans="1:25" ht="21" customHeight="1" thickBot="1" x14ac:dyDescent="0.25">
      <c r="A126" s="2844"/>
      <c r="B126" s="2845"/>
      <c r="C126" s="3806"/>
      <c r="D126" s="3829"/>
      <c r="E126" s="3787"/>
      <c r="F126" s="3803"/>
      <c r="G126" s="3803"/>
      <c r="H126" s="2229" t="s">
        <v>30</v>
      </c>
      <c r="I126" s="1238">
        <f>SUM(J126)</f>
        <v>25.7</v>
      </c>
      <c r="J126" s="731">
        <v>25.7</v>
      </c>
      <c r="K126" s="731">
        <v>25.3</v>
      </c>
      <c r="L126" s="730"/>
      <c r="M126" s="1262">
        <f>SUM(N126)</f>
        <v>28.4</v>
      </c>
      <c r="N126" s="731">
        <v>28.4</v>
      </c>
      <c r="O126" s="731">
        <v>27.4</v>
      </c>
      <c r="P126" s="656"/>
      <c r="Q126" s="1262">
        <f>SUM(R126)</f>
        <v>28.4</v>
      </c>
      <c r="R126" s="731">
        <v>28.4</v>
      </c>
      <c r="S126" s="731">
        <v>27.4</v>
      </c>
      <c r="T126" s="730"/>
      <c r="U126" s="1262">
        <f>SUM(V126)</f>
        <v>28.4</v>
      </c>
      <c r="V126" s="731">
        <v>28.4</v>
      </c>
      <c r="W126" s="731">
        <v>27.4</v>
      </c>
      <c r="X126" s="1272"/>
      <c r="Y126" s="354"/>
    </row>
    <row r="127" spans="1:25" s="1245" customFormat="1" ht="21" customHeight="1" thickBot="1" x14ac:dyDescent="0.25">
      <c r="A127" s="2844"/>
      <c r="B127" s="2845"/>
      <c r="C127" s="3806"/>
      <c r="D127" s="3829"/>
      <c r="E127" s="3787"/>
      <c r="F127" s="2777" t="s">
        <v>35</v>
      </c>
      <c r="G127" s="2778"/>
      <c r="H127" s="2779"/>
      <c r="I127" s="714">
        <f>SUM(J127+L127)</f>
        <v>42.5</v>
      </c>
      <c r="J127" s="711">
        <f>SUM(J125+J126)</f>
        <v>42.5</v>
      </c>
      <c r="K127" s="711">
        <f t="shared" ref="K127:L127" si="43">SUM(K125+K126)</f>
        <v>39.200000000000003</v>
      </c>
      <c r="L127" s="711">
        <f t="shared" si="43"/>
        <v>0</v>
      </c>
      <c r="M127" s="714">
        <f>SUM(N127+P127)</f>
        <v>45.8</v>
      </c>
      <c r="N127" s="711">
        <f>SUM(N125+N126)</f>
        <v>45.8</v>
      </c>
      <c r="O127" s="711">
        <f>SUM(O125+O126)</f>
        <v>41.9</v>
      </c>
      <c r="P127" s="712">
        <f>SUM(P125)</f>
        <v>0</v>
      </c>
      <c r="Q127" s="714">
        <f t="shared" si="41"/>
        <v>45.2</v>
      </c>
      <c r="R127" s="711">
        <f>SUM(R125+R126)</f>
        <v>45.2</v>
      </c>
      <c r="S127" s="711">
        <f>SUM(S125+S126)</f>
        <v>41.3</v>
      </c>
      <c r="T127" s="712">
        <f>SUM(T125)</f>
        <v>0</v>
      </c>
      <c r="U127" s="714">
        <f t="shared" si="42"/>
        <v>45.2</v>
      </c>
      <c r="V127" s="711">
        <f>SUM(V125+V126)</f>
        <v>45.2</v>
      </c>
      <c r="W127" s="711">
        <f>SUM(W125+W126)</f>
        <v>41.3</v>
      </c>
      <c r="X127" s="662">
        <f>SUM(X125)</f>
        <v>0</v>
      </c>
      <c r="Y127" s="354"/>
    </row>
    <row r="128" spans="1:25" ht="21.75" customHeight="1" x14ac:dyDescent="0.2">
      <c r="A128" s="2844">
        <v>1</v>
      </c>
      <c r="B128" s="2845">
        <v>2</v>
      </c>
      <c r="C128" s="3806">
        <v>3</v>
      </c>
      <c r="D128" s="3829" t="s">
        <v>1081</v>
      </c>
      <c r="E128" s="3787">
        <v>16</v>
      </c>
      <c r="F128" s="3837" t="s">
        <v>1082</v>
      </c>
      <c r="G128" s="3837" t="s">
        <v>1083</v>
      </c>
      <c r="H128" s="1285" t="s">
        <v>33</v>
      </c>
      <c r="I128" s="1238">
        <f>SUM(J128)</f>
        <v>25.8</v>
      </c>
      <c r="J128" s="718">
        <v>25.8</v>
      </c>
      <c r="K128" s="718">
        <v>25.4</v>
      </c>
      <c r="L128" s="728"/>
      <c r="M128" s="1235">
        <f>SUM(N128)</f>
        <v>27.2</v>
      </c>
      <c r="N128" s="718">
        <v>27.2</v>
      </c>
      <c r="O128" s="718">
        <v>26.8</v>
      </c>
      <c r="P128" s="720"/>
      <c r="Q128" s="1246">
        <f t="shared" si="41"/>
        <v>22.8</v>
      </c>
      <c r="R128" s="706">
        <v>22.8</v>
      </c>
      <c r="S128" s="706">
        <v>22.5</v>
      </c>
      <c r="T128" s="708"/>
      <c r="U128" s="1246">
        <f t="shared" si="42"/>
        <v>22.8</v>
      </c>
      <c r="V128" s="706">
        <v>22.8</v>
      </c>
      <c r="W128" s="706">
        <v>22.5</v>
      </c>
      <c r="X128" s="1264"/>
      <c r="Y128" s="354"/>
    </row>
    <row r="129" spans="1:25" ht="21.75" customHeight="1" thickBot="1" x14ac:dyDescent="0.25">
      <c r="A129" s="2844"/>
      <c r="B129" s="2845"/>
      <c r="C129" s="3806"/>
      <c r="D129" s="3829"/>
      <c r="E129" s="3787"/>
      <c r="F129" s="3843"/>
      <c r="G129" s="3843"/>
      <c r="H129" s="1286" t="s">
        <v>30</v>
      </c>
      <c r="I129" s="1238">
        <f>SUM(J129)</f>
        <v>3</v>
      </c>
      <c r="J129" s="1241">
        <v>3</v>
      </c>
      <c r="K129" s="1241">
        <v>2.9</v>
      </c>
      <c r="L129" s="728"/>
      <c r="M129" s="1240">
        <f t="shared" ref="M129:M158" si="44">SUM(N129+P129)</f>
        <v>6.6</v>
      </c>
      <c r="N129" s="1241">
        <v>6.6</v>
      </c>
      <c r="O129" s="1241">
        <v>6</v>
      </c>
      <c r="P129" s="1242"/>
      <c r="Q129" s="1246">
        <f t="shared" si="41"/>
        <v>11</v>
      </c>
      <c r="R129" s="726">
        <v>11</v>
      </c>
      <c r="S129" s="726">
        <v>10.3</v>
      </c>
      <c r="T129" s="728"/>
      <c r="U129" s="1246">
        <f t="shared" si="42"/>
        <v>11</v>
      </c>
      <c r="V129" s="726">
        <v>11</v>
      </c>
      <c r="W129" s="726">
        <v>10.3</v>
      </c>
      <c r="X129" s="1239"/>
      <c r="Y129" s="354"/>
    </row>
    <row r="130" spans="1:25" s="1245" customFormat="1" ht="21.75" customHeight="1" thickBot="1" x14ac:dyDescent="0.25">
      <c r="A130" s="2844"/>
      <c r="B130" s="2845"/>
      <c r="C130" s="3806"/>
      <c r="D130" s="3829"/>
      <c r="E130" s="3787"/>
      <c r="F130" s="2777" t="s">
        <v>35</v>
      </c>
      <c r="G130" s="2778"/>
      <c r="H130" s="2779"/>
      <c r="I130" s="714">
        <f>SUM(J130+L130)</f>
        <v>28.8</v>
      </c>
      <c r="J130" s="711">
        <f>SUM(J128+J129)</f>
        <v>28.8</v>
      </c>
      <c r="K130" s="711">
        <f>SUM(K128+K129)</f>
        <v>28.299999999999997</v>
      </c>
      <c r="L130" s="713">
        <f>SUM(L128+L129)</f>
        <v>0</v>
      </c>
      <c r="M130" s="714">
        <f t="shared" si="44"/>
        <v>33.799999999999997</v>
      </c>
      <c r="N130" s="711">
        <f>SUM(N128+N129)</f>
        <v>33.799999999999997</v>
      </c>
      <c r="O130" s="711">
        <f>SUM(O128+O129)</f>
        <v>32.799999999999997</v>
      </c>
      <c r="P130" s="712"/>
      <c r="Q130" s="776">
        <f t="shared" si="41"/>
        <v>33.799999999999997</v>
      </c>
      <c r="R130" s="711">
        <f>SUM(R128+R129)</f>
        <v>33.799999999999997</v>
      </c>
      <c r="S130" s="711">
        <f>SUM(S128+S129)</f>
        <v>32.799999999999997</v>
      </c>
      <c r="T130" s="712"/>
      <c r="U130" s="714">
        <f t="shared" si="42"/>
        <v>33.799999999999997</v>
      </c>
      <c r="V130" s="711">
        <f>SUM(V128+V129)</f>
        <v>33.799999999999997</v>
      </c>
      <c r="W130" s="664">
        <f>SUM(W128+W129)</f>
        <v>32.799999999999997</v>
      </c>
      <c r="X130" s="662"/>
      <c r="Y130" s="354"/>
    </row>
    <row r="131" spans="1:25" ht="21.75" customHeight="1" x14ac:dyDescent="0.2">
      <c r="A131" s="2844">
        <v>1</v>
      </c>
      <c r="B131" s="2845">
        <v>2</v>
      </c>
      <c r="C131" s="3806">
        <v>4</v>
      </c>
      <c r="D131" s="3829" t="s">
        <v>1084</v>
      </c>
      <c r="E131" s="3787">
        <v>3</v>
      </c>
      <c r="F131" s="3806" t="s">
        <v>993</v>
      </c>
      <c r="G131" s="3806" t="s">
        <v>1085</v>
      </c>
      <c r="H131" s="2221" t="s">
        <v>33</v>
      </c>
      <c r="I131" s="1238">
        <f>SUM(J131)</f>
        <v>8.1999999999999993</v>
      </c>
      <c r="J131" s="706">
        <v>8.1999999999999993</v>
      </c>
      <c r="K131" s="706">
        <v>8.1</v>
      </c>
      <c r="L131" s="728"/>
      <c r="M131" s="1246">
        <f t="shared" si="44"/>
        <v>8.5</v>
      </c>
      <c r="N131" s="706">
        <v>8.5</v>
      </c>
      <c r="O131" s="706">
        <v>8.4</v>
      </c>
      <c r="P131" s="707"/>
      <c r="Q131" s="1246">
        <f t="shared" si="41"/>
        <v>8.5</v>
      </c>
      <c r="R131" s="726">
        <v>8.5</v>
      </c>
      <c r="S131" s="726">
        <v>8.4</v>
      </c>
      <c r="T131" s="728"/>
      <c r="U131" s="1246">
        <f t="shared" si="42"/>
        <v>8.5</v>
      </c>
      <c r="V131" s="726">
        <v>8.5</v>
      </c>
      <c r="W131" s="726">
        <v>8.4</v>
      </c>
      <c r="X131" s="1239"/>
      <c r="Y131" s="354"/>
    </row>
    <row r="132" spans="1:25" ht="21.75" customHeight="1" thickBot="1" x14ac:dyDescent="0.25">
      <c r="A132" s="2844"/>
      <c r="B132" s="2845"/>
      <c r="C132" s="3806"/>
      <c r="D132" s="3829"/>
      <c r="E132" s="3787"/>
      <c r="F132" s="3843"/>
      <c r="G132" s="3843"/>
      <c r="H132" s="1286" t="s">
        <v>30</v>
      </c>
      <c r="I132" s="1238">
        <f>SUM(J132)</f>
        <v>20.5</v>
      </c>
      <c r="J132" s="726">
        <v>20.5</v>
      </c>
      <c r="K132" s="726">
        <v>20.100000000000001</v>
      </c>
      <c r="L132" s="728"/>
      <c r="M132" s="1246">
        <f t="shared" si="44"/>
        <v>23.9</v>
      </c>
      <c r="N132" s="726">
        <v>23.9</v>
      </c>
      <c r="O132" s="726">
        <v>23</v>
      </c>
      <c r="P132" s="727"/>
      <c r="Q132" s="1246">
        <f t="shared" si="41"/>
        <v>23.9</v>
      </c>
      <c r="R132" s="726">
        <v>23.9</v>
      </c>
      <c r="S132" s="726">
        <v>23</v>
      </c>
      <c r="T132" s="728"/>
      <c r="U132" s="1246">
        <f t="shared" si="42"/>
        <v>23.9</v>
      </c>
      <c r="V132" s="726">
        <v>23.9</v>
      </c>
      <c r="W132" s="726">
        <v>23</v>
      </c>
      <c r="X132" s="1239"/>
      <c r="Y132" s="354"/>
    </row>
    <row r="133" spans="1:25" s="1245" customFormat="1" ht="21.75" customHeight="1" thickBot="1" x14ac:dyDescent="0.25">
      <c r="A133" s="2844"/>
      <c r="B133" s="2845"/>
      <c r="C133" s="3806"/>
      <c r="D133" s="3829"/>
      <c r="E133" s="3787"/>
      <c r="F133" s="2777" t="s">
        <v>35</v>
      </c>
      <c r="G133" s="2778"/>
      <c r="H133" s="2779"/>
      <c r="I133" s="714">
        <f>SUM(J133+L133)</f>
        <v>28.7</v>
      </c>
      <c r="J133" s="711">
        <f>J131+J132</f>
        <v>28.7</v>
      </c>
      <c r="K133" s="711">
        <f>K131+K132</f>
        <v>28.200000000000003</v>
      </c>
      <c r="L133" s="712">
        <f>L131+L132</f>
        <v>0</v>
      </c>
      <c r="M133" s="714">
        <f t="shared" si="44"/>
        <v>32.4</v>
      </c>
      <c r="N133" s="711">
        <f>N131+N132</f>
        <v>32.4</v>
      </c>
      <c r="O133" s="711">
        <f>O131+O132</f>
        <v>31.4</v>
      </c>
      <c r="P133" s="712">
        <f>P131+P132</f>
        <v>0</v>
      </c>
      <c r="Q133" s="714">
        <f t="shared" si="41"/>
        <v>32.4</v>
      </c>
      <c r="R133" s="711">
        <f>R131+R132</f>
        <v>32.4</v>
      </c>
      <c r="S133" s="711">
        <f>S131+S132</f>
        <v>31.4</v>
      </c>
      <c r="T133" s="712">
        <f>T131+T132</f>
        <v>0</v>
      </c>
      <c r="U133" s="714">
        <f t="shared" si="42"/>
        <v>32.4</v>
      </c>
      <c r="V133" s="711">
        <f>V131+V132</f>
        <v>32.4</v>
      </c>
      <c r="W133" s="664">
        <f>W131+W132</f>
        <v>31.4</v>
      </c>
      <c r="X133" s="662">
        <f>X131+X132</f>
        <v>0</v>
      </c>
      <c r="Y133" s="354"/>
    </row>
    <row r="134" spans="1:25" ht="21.75" customHeight="1" x14ac:dyDescent="0.2">
      <c r="A134" s="2844">
        <v>1</v>
      </c>
      <c r="B134" s="2845">
        <v>2</v>
      </c>
      <c r="C134" s="3806">
        <v>5</v>
      </c>
      <c r="D134" s="3829" t="s">
        <v>1086</v>
      </c>
      <c r="E134" s="3787">
        <v>8</v>
      </c>
      <c r="F134" s="3806" t="s">
        <v>993</v>
      </c>
      <c r="G134" s="3806" t="s">
        <v>1087</v>
      </c>
      <c r="H134" s="2221" t="s">
        <v>33</v>
      </c>
      <c r="I134" s="1238">
        <f>SUM(J134)</f>
        <v>31.2</v>
      </c>
      <c r="J134" s="726">
        <v>31.2</v>
      </c>
      <c r="K134" s="726">
        <v>30.8</v>
      </c>
      <c r="L134" s="728"/>
      <c r="M134" s="1246">
        <f t="shared" si="44"/>
        <v>33.1</v>
      </c>
      <c r="N134" s="726">
        <v>33.1</v>
      </c>
      <c r="O134" s="726">
        <v>32.6</v>
      </c>
      <c r="P134" s="727"/>
      <c r="Q134" s="1246">
        <f t="shared" si="41"/>
        <v>31.2</v>
      </c>
      <c r="R134" s="726">
        <v>31.2</v>
      </c>
      <c r="S134" s="726">
        <v>30.8</v>
      </c>
      <c r="T134" s="728"/>
      <c r="U134" s="1246">
        <f t="shared" si="42"/>
        <v>31.2</v>
      </c>
      <c r="V134" s="726">
        <v>31.2</v>
      </c>
      <c r="W134" s="726">
        <v>30.8</v>
      </c>
      <c r="X134" s="1239"/>
      <c r="Y134" s="354"/>
    </row>
    <row r="135" spans="1:25" ht="21.75" customHeight="1" thickBot="1" x14ac:dyDescent="0.25">
      <c r="A135" s="2844"/>
      <c r="B135" s="2845"/>
      <c r="C135" s="3806"/>
      <c r="D135" s="3829"/>
      <c r="E135" s="3787"/>
      <c r="F135" s="3843"/>
      <c r="G135" s="3843"/>
      <c r="H135" s="1286" t="s">
        <v>30</v>
      </c>
      <c r="I135" s="1238">
        <f>SUM(J135)</f>
        <v>45.3</v>
      </c>
      <c r="J135" s="726">
        <v>45.3</v>
      </c>
      <c r="K135" s="726">
        <v>44.6</v>
      </c>
      <c r="L135" s="728"/>
      <c r="M135" s="1246">
        <f t="shared" si="44"/>
        <v>55.3</v>
      </c>
      <c r="N135" s="726">
        <v>55.3</v>
      </c>
      <c r="O135" s="726">
        <v>53.5</v>
      </c>
      <c r="P135" s="727"/>
      <c r="Q135" s="1246">
        <f t="shared" si="41"/>
        <v>56.3</v>
      </c>
      <c r="R135" s="726">
        <v>56.3</v>
      </c>
      <c r="S135" s="726">
        <v>54.5</v>
      </c>
      <c r="T135" s="728"/>
      <c r="U135" s="1246">
        <f t="shared" si="42"/>
        <v>56.3</v>
      </c>
      <c r="V135" s="726">
        <v>56.3</v>
      </c>
      <c r="W135" s="726">
        <v>54.5</v>
      </c>
      <c r="X135" s="1239"/>
      <c r="Y135" s="354"/>
    </row>
    <row r="136" spans="1:25" s="1245" customFormat="1" ht="21.75" customHeight="1" thickBot="1" x14ac:dyDescent="0.25">
      <c r="A136" s="2844"/>
      <c r="B136" s="2845"/>
      <c r="C136" s="3806"/>
      <c r="D136" s="3829"/>
      <c r="E136" s="3787"/>
      <c r="F136" s="2777" t="s">
        <v>35</v>
      </c>
      <c r="G136" s="2778"/>
      <c r="H136" s="2779"/>
      <c r="I136" s="714">
        <f>SUM(J136+L136)</f>
        <v>76.5</v>
      </c>
      <c r="J136" s="711">
        <f>J134+J135</f>
        <v>76.5</v>
      </c>
      <c r="K136" s="711">
        <f>K134+K135</f>
        <v>75.400000000000006</v>
      </c>
      <c r="L136" s="712">
        <f>L134+L135</f>
        <v>0</v>
      </c>
      <c r="M136" s="714">
        <f t="shared" si="44"/>
        <v>88.4</v>
      </c>
      <c r="N136" s="711">
        <f>N134+N135</f>
        <v>88.4</v>
      </c>
      <c r="O136" s="711">
        <f>O134+O135</f>
        <v>86.1</v>
      </c>
      <c r="P136" s="712">
        <f>P134+P135</f>
        <v>0</v>
      </c>
      <c r="Q136" s="714">
        <f t="shared" si="41"/>
        <v>87.5</v>
      </c>
      <c r="R136" s="711">
        <f>R134+R135</f>
        <v>87.5</v>
      </c>
      <c r="S136" s="711">
        <f>S134+S135</f>
        <v>85.3</v>
      </c>
      <c r="T136" s="712">
        <f>T134+T135</f>
        <v>0</v>
      </c>
      <c r="U136" s="714">
        <f t="shared" si="42"/>
        <v>87.5</v>
      </c>
      <c r="V136" s="711">
        <f>V134+V135</f>
        <v>87.5</v>
      </c>
      <c r="W136" s="664">
        <f>W134+W135</f>
        <v>85.3</v>
      </c>
      <c r="X136" s="662">
        <f>X134+X135</f>
        <v>0</v>
      </c>
      <c r="Y136" s="354"/>
    </row>
    <row r="137" spans="1:25" ht="18.75" customHeight="1" thickBot="1" x14ac:dyDescent="0.25">
      <c r="A137" s="2844">
        <v>1</v>
      </c>
      <c r="B137" s="2845">
        <v>2</v>
      </c>
      <c r="C137" s="3806">
        <v>6</v>
      </c>
      <c r="D137" s="3829" t="s">
        <v>1088</v>
      </c>
      <c r="E137" s="3787">
        <v>9</v>
      </c>
      <c r="F137" s="2228" t="s">
        <v>1089</v>
      </c>
      <c r="G137" s="2228" t="s">
        <v>1090</v>
      </c>
      <c r="H137" s="1286" t="s">
        <v>33</v>
      </c>
      <c r="I137" s="1238">
        <f>SUM(J137)</f>
        <v>0</v>
      </c>
      <c r="J137" s="726"/>
      <c r="K137" s="726"/>
      <c r="L137" s="728"/>
      <c r="M137" s="1246">
        <f t="shared" si="44"/>
        <v>0.2</v>
      </c>
      <c r="N137" s="726">
        <v>0.2</v>
      </c>
      <c r="O137" s="726"/>
      <c r="P137" s="727"/>
      <c r="Q137" s="1246">
        <f t="shared" si="41"/>
        <v>0.2</v>
      </c>
      <c r="R137" s="726">
        <v>0.2</v>
      </c>
      <c r="S137" s="726"/>
      <c r="T137" s="728"/>
      <c r="U137" s="1246">
        <f t="shared" si="42"/>
        <v>0.2</v>
      </c>
      <c r="V137" s="726">
        <v>0.2</v>
      </c>
      <c r="W137" s="70"/>
      <c r="X137" s="1239"/>
      <c r="Y137" s="354"/>
    </row>
    <row r="138" spans="1:25" s="1245" customFormat="1" ht="25.5" customHeight="1" thickBot="1" x14ac:dyDescent="0.25">
      <c r="A138" s="2844"/>
      <c r="B138" s="2845"/>
      <c r="C138" s="3806"/>
      <c r="D138" s="3829"/>
      <c r="E138" s="3787"/>
      <c r="F138" s="2777" t="s">
        <v>35</v>
      </c>
      <c r="G138" s="2778"/>
      <c r="H138" s="2779"/>
      <c r="I138" s="714">
        <f>SUM(J138+L138)</f>
        <v>0</v>
      </c>
      <c r="J138" s="711">
        <f>SUM(J137)</f>
        <v>0</v>
      </c>
      <c r="K138" s="711">
        <f>SUM(K137)</f>
        <v>0</v>
      </c>
      <c r="L138" s="712">
        <f>SUM(L137)</f>
        <v>0</v>
      </c>
      <c r="M138" s="714">
        <f t="shared" si="44"/>
        <v>0.2</v>
      </c>
      <c r="N138" s="711">
        <f>SUM(N137)</f>
        <v>0.2</v>
      </c>
      <c r="O138" s="711">
        <f>SUM(O137)</f>
        <v>0</v>
      </c>
      <c r="P138" s="712">
        <f>SUM(P137)</f>
        <v>0</v>
      </c>
      <c r="Q138" s="714">
        <f t="shared" si="41"/>
        <v>0.2</v>
      </c>
      <c r="R138" s="711">
        <f>SUM(R137)</f>
        <v>0.2</v>
      </c>
      <c r="S138" s="711">
        <f>SUM(S137)</f>
        <v>0</v>
      </c>
      <c r="T138" s="712">
        <f>SUM(T137)</f>
        <v>0</v>
      </c>
      <c r="U138" s="714">
        <f t="shared" si="42"/>
        <v>0.2</v>
      </c>
      <c r="V138" s="711">
        <f>SUM(V137)</f>
        <v>0.2</v>
      </c>
      <c r="W138" s="664">
        <f>SUM(W137)</f>
        <v>0</v>
      </c>
      <c r="X138" s="662">
        <f>SUM(X137)</f>
        <v>0</v>
      </c>
      <c r="Y138" s="354"/>
    </row>
    <row r="139" spans="1:25" ht="21.75" customHeight="1" thickBot="1" x14ac:dyDescent="0.25">
      <c r="A139" s="2844">
        <v>1</v>
      </c>
      <c r="B139" s="2845">
        <v>2</v>
      </c>
      <c r="C139" s="3806">
        <v>7</v>
      </c>
      <c r="D139" s="3797" t="s">
        <v>1091</v>
      </c>
      <c r="E139" s="3787">
        <v>12</v>
      </c>
      <c r="F139" s="2228" t="s">
        <v>993</v>
      </c>
      <c r="G139" s="2228" t="s">
        <v>1092</v>
      </c>
      <c r="H139" s="1286" t="s">
        <v>33</v>
      </c>
      <c r="I139" s="1238">
        <f>SUM(J139)</f>
        <v>9</v>
      </c>
      <c r="J139" s="726">
        <v>9</v>
      </c>
      <c r="K139" s="726">
        <v>8.9</v>
      </c>
      <c r="L139" s="728"/>
      <c r="M139" s="1246">
        <f t="shared" si="44"/>
        <v>9.8000000000000007</v>
      </c>
      <c r="N139" s="726">
        <v>9.8000000000000007</v>
      </c>
      <c r="O139" s="726">
        <v>9.6999999999999993</v>
      </c>
      <c r="P139" s="727"/>
      <c r="Q139" s="1246">
        <f t="shared" si="41"/>
        <v>9</v>
      </c>
      <c r="R139" s="726">
        <v>9</v>
      </c>
      <c r="S139" s="726">
        <v>8.9</v>
      </c>
      <c r="T139" s="728"/>
      <c r="U139" s="1246">
        <f t="shared" si="42"/>
        <v>9</v>
      </c>
      <c r="V139" s="726">
        <v>9</v>
      </c>
      <c r="W139" s="726">
        <v>8.9</v>
      </c>
      <c r="X139" s="1239"/>
      <c r="Y139" s="354"/>
    </row>
    <row r="140" spans="1:25" s="1245" customFormat="1" ht="21.75" customHeight="1" thickBot="1" x14ac:dyDescent="0.25">
      <c r="A140" s="2844"/>
      <c r="B140" s="2845"/>
      <c r="C140" s="3806"/>
      <c r="D140" s="3799"/>
      <c r="E140" s="3787"/>
      <c r="F140" s="2777" t="s">
        <v>35</v>
      </c>
      <c r="G140" s="2778"/>
      <c r="H140" s="2779"/>
      <c r="I140" s="714">
        <f>SUM(J140+L140)</f>
        <v>9</v>
      </c>
      <c r="J140" s="711">
        <f>SUM(J139)</f>
        <v>9</v>
      </c>
      <c r="K140" s="711">
        <f>SUM(K139)</f>
        <v>8.9</v>
      </c>
      <c r="L140" s="712">
        <f>SUM(L139)</f>
        <v>0</v>
      </c>
      <c r="M140" s="714">
        <f t="shared" si="44"/>
        <v>9.8000000000000007</v>
      </c>
      <c r="N140" s="711">
        <f>SUM(N139)</f>
        <v>9.8000000000000007</v>
      </c>
      <c r="O140" s="711">
        <f>SUM(O139)</f>
        <v>9.6999999999999993</v>
      </c>
      <c r="P140" s="712">
        <f>SUM(P139)</f>
        <v>0</v>
      </c>
      <c r="Q140" s="714">
        <f t="shared" si="41"/>
        <v>9</v>
      </c>
      <c r="R140" s="711">
        <f>SUM(R139)</f>
        <v>9</v>
      </c>
      <c r="S140" s="711">
        <f>SUM(S139)</f>
        <v>8.9</v>
      </c>
      <c r="T140" s="712">
        <f>SUM(T139)</f>
        <v>0</v>
      </c>
      <c r="U140" s="714">
        <f t="shared" si="42"/>
        <v>9</v>
      </c>
      <c r="V140" s="711">
        <f>SUM(V139)</f>
        <v>9</v>
      </c>
      <c r="W140" s="664">
        <f>SUM(W139)</f>
        <v>8.9</v>
      </c>
      <c r="X140" s="662">
        <f>SUM(X139)</f>
        <v>0</v>
      </c>
      <c r="Y140" s="354"/>
    </row>
    <row r="141" spans="1:25" ht="22.5" customHeight="1" x14ac:dyDescent="0.2">
      <c r="A141" s="2844">
        <v>1</v>
      </c>
      <c r="B141" s="2845">
        <v>2</v>
      </c>
      <c r="C141" s="3806">
        <v>8</v>
      </c>
      <c r="D141" s="3829" t="s">
        <v>1093</v>
      </c>
      <c r="E141" s="3787">
        <v>13</v>
      </c>
      <c r="F141" s="3837" t="s">
        <v>1094</v>
      </c>
      <c r="G141" s="3844" t="s">
        <v>1095</v>
      </c>
      <c r="H141" s="1287" t="s">
        <v>33</v>
      </c>
      <c r="I141" s="1238">
        <f>SUM(J141)</f>
        <v>15.6</v>
      </c>
      <c r="J141" s="726">
        <v>15.6</v>
      </c>
      <c r="K141" s="726">
        <v>13</v>
      </c>
      <c r="L141" s="728"/>
      <c r="M141" s="1246">
        <f t="shared" si="44"/>
        <v>31.5</v>
      </c>
      <c r="N141" s="726">
        <v>31.5</v>
      </c>
      <c r="O141" s="726">
        <v>21.9</v>
      </c>
      <c r="P141" s="727"/>
      <c r="Q141" s="1246">
        <f t="shared" si="41"/>
        <v>31.5</v>
      </c>
      <c r="R141" s="726">
        <v>31.5</v>
      </c>
      <c r="S141" s="726">
        <v>21.9</v>
      </c>
      <c r="T141" s="728"/>
      <c r="U141" s="1246">
        <f t="shared" si="42"/>
        <v>31.5</v>
      </c>
      <c r="V141" s="726">
        <v>31.5</v>
      </c>
      <c r="W141" s="726">
        <v>21.9</v>
      </c>
      <c r="X141" s="1239"/>
      <c r="Y141" s="354"/>
    </row>
    <row r="142" spans="1:25" ht="22.5" customHeight="1" thickBot="1" x14ac:dyDescent="0.25">
      <c r="A142" s="2844"/>
      <c r="B142" s="2845"/>
      <c r="C142" s="3806"/>
      <c r="D142" s="3829"/>
      <c r="E142" s="3787"/>
      <c r="F142" s="3845"/>
      <c r="G142" s="3843"/>
      <c r="H142" s="1284" t="s">
        <v>30</v>
      </c>
      <c r="I142" s="1262">
        <f>SUM(J142)</f>
        <v>0</v>
      </c>
      <c r="J142" s="731"/>
      <c r="K142" s="731"/>
      <c r="L142" s="730"/>
      <c r="M142" s="1262">
        <f>SUM(N142)</f>
        <v>4</v>
      </c>
      <c r="N142" s="731">
        <v>4</v>
      </c>
      <c r="O142" s="731">
        <v>3.4</v>
      </c>
      <c r="P142" s="656"/>
      <c r="Q142" s="1262">
        <f>SUM(R142)</f>
        <v>4</v>
      </c>
      <c r="R142" s="731">
        <v>4</v>
      </c>
      <c r="S142" s="731">
        <v>3.4</v>
      </c>
      <c r="T142" s="730"/>
      <c r="U142" s="1262">
        <f>SUM(V142)</f>
        <v>4</v>
      </c>
      <c r="V142" s="731">
        <v>4</v>
      </c>
      <c r="W142" s="731">
        <v>3.4</v>
      </c>
      <c r="X142" s="1272"/>
      <c r="Y142" s="354"/>
    </row>
    <row r="143" spans="1:25" s="1245" customFormat="1" ht="22.5" customHeight="1" thickBot="1" x14ac:dyDescent="0.25">
      <c r="A143" s="2844"/>
      <c r="B143" s="2845"/>
      <c r="C143" s="3806"/>
      <c r="D143" s="3829"/>
      <c r="E143" s="3787"/>
      <c r="F143" s="2895" t="s">
        <v>35</v>
      </c>
      <c r="G143" s="2896"/>
      <c r="H143" s="2779"/>
      <c r="I143" s="714">
        <f>SUM(J143+L143)</f>
        <v>15.6</v>
      </c>
      <c r="J143" s="711">
        <f>SUM(J141+J142)</f>
        <v>15.6</v>
      </c>
      <c r="K143" s="711">
        <f>SUM(K141+K142)</f>
        <v>13</v>
      </c>
      <c r="L143" s="712">
        <f>SUM(L141)</f>
        <v>0</v>
      </c>
      <c r="M143" s="714">
        <f t="shared" si="44"/>
        <v>35.5</v>
      </c>
      <c r="N143" s="711">
        <f>SUM(N141+N142)</f>
        <v>35.5</v>
      </c>
      <c r="O143" s="711">
        <f>SUM(O141+O142)</f>
        <v>25.299999999999997</v>
      </c>
      <c r="P143" s="712">
        <f>SUM(P141)</f>
        <v>0</v>
      </c>
      <c r="Q143" s="714">
        <f t="shared" si="41"/>
        <v>35.5</v>
      </c>
      <c r="R143" s="711">
        <f>SUM(R141+R142)</f>
        <v>35.5</v>
      </c>
      <c r="S143" s="711">
        <f>SUM(S141+S142)</f>
        <v>25.299999999999997</v>
      </c>
      <c r="T143" s="712">
        <f>SUM(T141)</f>
        <v>0</v>
      </c>
      <c r="U143" s="714">
        <f t="shared" si="42"/>
        <v>35.5</v>
      </c>
      <c r="V143" s="711">
        <f>SUM(V141+V142)</f>
        <v>35.5</v>
      </c>
      <c r="W143" s="711">
        <f>SUM(W141+W142)</f>
        <v>25.299999999999997</v>
      </c>
      <c r="X143" s="662">
        <f>SUM(X141)</f>
        <v>0</v>
      </c>
      <c r="Y143" s="354"/>
    </row>
    <row r="144" spans="1:25" ht="21.75" customHeight="1" x14ac:dyDescent="0.2">
      <c r="A144" s="2844">
        <v>1</v>
      </c>
      <c r="B144" s="2845">
        <v>2</v>
      </c>
      <c r="C144" s="3806">
        <v>9</v>
      </c>
      <c r="D144" s="3797" t="s">
        <v>1096</v>
      </c>
      <c r="E144" s="3787">
        <v>13</v>
      </c>
      <c r="F144" s="3844" t="s">
        <v>1097</v>
      </c>
      <c r="G144" s="3844" t="s">
        <v>1098</v>
      </c>
      <c r="H144" s="1288" t="s">
        <v>33</v>
      </c>
      <c r="I144" s="1238">
        <f>SUM(J144)</f>
        <v>39.799999999999997</v>
      </c>
      <c r="J144" s="726">
        <v>39.799999999999997</v>
      </c>
      <c r="K144" s="726">
        <v>33.299999999999997</v>
      </c>
      <c r="L144" s="728"/>
      <c r="M144" s="1246">
        <f t="shared" si="44"/>
        <v>43.3</v>
      </c>
      <c r="N144" s="726">
        <v>43.3</v>
      </c>
      <c r="O144" s="726">
        <v>36.799999999999997</v>
      </c>
      <c r="P144" s="727"/>
      <c r="Q144" s="1246">
        <f t="shared" si="41"/>
        <v>43.3</v>
      </c>
      <c r="R144" s="726">
        <v>43.3</v>
      </c>
      <c r="S144" s="726">
        <v>36.799999999999997</v>
      </c>
      <c r="T144" s="728"/>
      <c r="U144" s="1246">
        <f t="shared" si="42"/>
        <v>43.3</v>
      </c>
      <c r="V144" s="726">
        <v>43.3</v>
      </c>
      <c r="W144" s="726">
        <v>36.799999999999997</v>
      </c>
      <c r="X144" s="1239"/>
      <c r="Y144" s="354"/>
    </row>
    <row r="145" spans="1:26" ht="21.75" customHeight="1" thickBot="1" x14ac:dyDescent="0.25">
      <c r="A145" s="2916"/>
      <c r="B145" s="2850"/>
      <c r="C145" s="3845"/>
      <c r="D145" s="3798"/>
      <c r="E145" s="3846"/>
      <c r="F145" s="3843"/>
      <c r="G145" s="3843"/>
      <c r="H145" s="1286" t="s">
        <v>30</v>
      </c>
      <c r="I145" s="1262">
        <f>SUM(J145)</f>
        <v>8.4</v>
      </c>
      <c r="J145" s="731">
        <v>8.4</v>
      </c>
      <c r="K145" s="731">
        <v>8</v>
      </c>
      <c r="L145" s="730"/>
      <c r="M145" s="1262">
        <f>SUM(N145)</f>
        <v>13.2</v>
      </c>
      <c r="N145" s="731">
        <v>13.2</v>
      </c>
      <c r="O145" s="731">
        <v>12.5</v>
      </c>
      <c r="P145" s="656"/>
      <c r="Q145" s="1262">
        <f>SUM(R145)</f>
        <v>13.2</v>
      </c>
      <c r="R145" s="731">
        <v>13.2</v>
      </c>
      <c r="S145" s="731">
        <v>12.5</v>
      </c>
      <c r="T145" s="730"/>
      <c r="U145" s="1262">
        <f>SUM(V145)</f>
        <v>13.2</v>
      </c>
      <c r="V145" s="731">
        <v>13.2</v>
      </c>
      <c r="W145" s="731">
        <v>12.5</v>
      </c>
      <c r="X145" s="1272"/>
      <c r="Y145" s="354"/>
    </row>
    <row r="146" spans="1:26" s="1245" customFormat="1" ht="21.75" customHeight="1" thickBot="1" x14ac:dyDescent="0.25">
      <c r="A146" s="2916"/>
      <c r="B146" s="2850"/>
      <c r="C146" s="3845"/>
      <c r="D146" s="3798"/>
      <c r="E146" s="3846"/>
      <c r="F146" s="3788" t="s">
        <v>35</v>
      </c>
      <c r="G146" s="3789"/>
      <c r="H146" s="2779"/>
      <c r="I146" s="714">
        <f>SUM(J146+L146)</f>
        <v>48.199999999999996</v>
      </c>
      <c r="J146" s="711">
        <f>SUM(J144+J145)</f>
        <v>48.199999999999996</v>
      </c>
      <c r="K146" s="711">
        <f>SUM(K144+K145)</f>
        <v>41.3</v>
      </c>
      <c r="L146" s="712">
        <f>SUM(L144)</f>
        <v>0</v>
      </c>
      <c r="M146" s="714">
        <f t="shared" si="44"/>
        <v>56.5</v>
      </c>
      <c r="N146" s="711">
        <f>SUM(N144+N145)</f>
        <v>56.5</v>
      </c>
      <c r="O146" s="711">
        <f>SUM(O144+O145)</f>
        <v>49.3</v>
      </c>
      <c r="P146" s="712">
        <f>SUM(P144)</f>
        <v>0</v>
      </c>
      <c r="Q146" s="714">
        <f t="shared" si="41"/>
        <v>56.5</v>
      </c>
      <c r="R146" s="711">
        <f>SUM(R144+R145)</f>
        <v>56.5</v>
      </c>
      <c r="S146" s="711">
        <f>SUM(S144+S145)</f>
        <v>49.3</v>
      </c>
      <c r="T146" s="712">
        <f>SUM(T144)</f>
        <v>0</v>
      </c>
      <c r="U146" s="714">
        <f t="shared" si="42"/>
        <v>56.5</v>
      </c>
      <c r="V146" s="711">
        <f>SUM(V144+V145)</f>
        <v>56.5</v>
      </c>
      <c r="W146" s="711">
        <f>SUM(W144+W145)</f>
        <v>49.3</v>
      </c>
      <c r="X146" s="662">
        <f>SUM(X144)</f>
        <v>0</v>
      </c>
      <c r="Y146" s="354"/>
    </row>
    <row r="147" spans="1:26" s="1245" customFormat="1" ht="21.75" customHeight="1" x14ac:dyDescent="0.2">
      <c r="A147" s="2844">
        <v>1</v>
      </c>
      <c r="B147" s="2845">
        <v>2</v>
      </c>
      <c r="C147" s="3806">
        <v>10</v>
      </c>
      <c r="D147" s="3829" t="s">
        <v>1099</v>
      </c>
      <c r="E147" s="3806">
        <v>18</v>
      </c>
      <c r="F147" s="3848" t="s">
        <v>1100</v>
      </c>
      <c r="G147" s="3826" t="s">
        <v>1101</v>
      </c>
      <c r="H147" s="2232" t="s">
        <v>1102</v>
      </c>
      <c r="I147" s="1235">
        <f>SUM(J147)</f>
        <v>5.3</v>
      </c>
      <c r="J147" s="718">
        <v>5.3</v>
      </c>
      <c r="K147" s="718">
        <v>5.2</v>
      </c>
      <c r="L147" s="720"/>
      <c r="M147" s="1235">
        <f t="shared" si="44"/>
        <v>5.2</v>
      </c>
      <c r="N147" s="718">
        <v>5.2</v>
      </c>
      <c r="O147" s="718">
        <v>4.7</v>
      </c>
      <c r="P147" s="720"/>
      <c r="Q147" s="1289">
        <f t="shared" si="41"/>
        <v>5.2</v>
      </c>
      <c r="R147" s="718">
        <v>5.2</v>
      </c>
      <c r="S147" s="718">
        <v>4.7</v>
      </c>
      <c r="T147" s="708"/>
      <c r="U147" s="1235">
        <f t="shared" si="42"/>
        <v>5.2</v>
      </c>
      <c r="V147" s="718">
        <v>5.2</v>
      </c>
      <c r="W147" s="718">
        <v>4.7</v>
      </c>
      <c r="X147" s="720"/>
      <c r="Y147" s="354"/>
    </row>
    <row r="148" spans="1:26" s="1245" customFormat="1" ht="21.75" customHeight="1" x14ac:dyDescent="0.2">
      <c r="A148" s="2844"/>
      <c r="B148" s="2845"/>
      <c r="C148" s="3806"/>
      <c r="D148" s="3829"/>
      <c r="E148" s="3806"/>
      <c r="F148" s="3849"/>
      <c r="G148" s="3805"/>
      <c r="H148" s="2201" t="s">
        <v>1103</v>
      </c>
      <c r="I148" s="1238">
        <f t="shared" ref="I148:I157" si="45">SUM(J148)</f>
        <v>5.3</v>
      </c>
      <c r="J148" s="726">
        <v>5.3</v>
      </c>
      <c r="K148" s="726">
        <v>5.2</v>
      </c>
      <c r="L148" s="727"/>
      <c r="M148" s="1238">
        <f t="shared" si="44"/>
        <v>5.2</v>
      </c>
      <c r="N148" s="726">
        <v>5.2</v>
      </c>
      <c r="O148" s="726">
        <v>4.7</v>
      </c>
      <c r="P148" s="727"/>
      <c r="Q148" s="1268">
        <f t="shared" si="41"/>
        <v>5.2</v>
      </c>
      <c r="R148" s="726">
        <v>5.2</v>
      </c>
      <c r="S148" s="726">
        <v>4.7</v>
      </c>
      <c r="T148" s="728"/>
      <c r="U148" s="1238">
        <f t="shared" si="42"/>
        <v>5.2</v>
      </c>
      <c r="V148" s="726">
        <v>5.2</v>
      </c>
      <c r="W148" s="726">
        <v>4.7</v>
      </c>
      <c r="X148" s="1239"/>
      <c r="Y148" s="354"/>
    </row>
    <row r="149" spans="1:26" ht="21.75" customHeight="1" x14ac:dyDescent="0.2">
      <c r="A149" s="2844"/>
      <c r="B149" s="2845"/>
      <c r="C149" s="3806"/>
      <c r="D149" s="3829"/>
      <c r="E149" s="3806"/>
      <c r="F149" s="3849"/>
      <c r="G149" s="3805"/>
      <c r="H149" s="2227" t="s">
        <v>33</v>
      </c>
      <c r="I149" s="1238">
        <f t="shared" si="45"/>
        <v>104.2</v>
      </c>
      <c r="J149" s="726">
        <v>104.2</v>
      </c>
      <c r="K149" s="726">
        <v>98.4</v>
      </c>
      <c r="L149" s="727"/>
      <c r="M149" s="1238">
        <f t="shared" si="44"/>
        <v>71.900000000000006</v>
      </c>
      <c r="N149" s="726">
        <v>71.900000000000006</v>
      </c>
      <c r="O149" s="726">
        <v>66.599999999999994</v>
      </c>
      <c r="P149" s="727"/>
      <c r="Q149" s="1268">
        <f t="shared" si="41"/>
        <v>62.3</v>
      </c>
      <c r="R149" s="726">
        <v>62.3</v>
      </c>
      <c r="S149" s="726">
        <v>56.8</v>
      </c>
      <c r="T149" s="728"/>
      <c r="U149" s="1238">
        <f t="shared" si="42"/>
        <v>62.3</v>
      </c>
      <c r="V149" s="726">
        <v>62.3</v>
      </c>
      <c r="W149" s="726">
        <v>56.8</v>
      </c>
      <c r="X149" s="1239"/>
      <c r="Y149" s="354"/>
    </row>
    <row r="150" spans="1:26" ht="21.75" customHeight="1" x14ac:dyDescent="0.2">
      <c r="A150" s="2844"/>
      <c r="B150" s="2845"/>
      <c r="C150" s="3806"/>
      <c r="D150" s="3829"/>
      <c r="E150" s="3806"/>
      <c r="F150" s="3849"/>
      <c r="G150" s="3801"/>
      <c r="H150" s="2227" t="s">
        <v>30</v>
      </c>
      <c r="I150" s="1238">
        <f t="shared" si="45"/>
        <v>86.7</v>
      </c>
      <c r="J150" s="726">
        <v>86.7</v>
      </c>
      <c r="K150" s="726">
        <v>84</v>
      </c>
      <c r="L150" s="727"/>
      <c r="M150" s="1238">
        <f t="shared" si="44"/>
        <v>186.6</v>
      </c>
      <c r="N150" s="726">
        <v>186.6</v>
      </c>
      <c r="O150" s="726">
        <v>182.2</v>
      </c>
      <c r="P150" s="727"/>
      <c r="Q150" s="1268">
        <f t="shared" si="41"/>
        <v>186.6</v>
      </c>
      <c r="R150" s="726">
        <v>186.6</v>
      </c>
      <c r="S150" s="726">
        <v>182.2</v>
      </c>
      <c r="T150" s="728"/>
      <c r="U150" s="1238">
        <f t="shared" si="42"/>
        <v>186.6</v>
      </c>
      <c r="V150" s="726">
        <v>186.6</v>
      </c>
      <c r="W150" s="726">
        <v>182.2</v>
      </c>
      <c r="X150" s="1239"/>
      <c r="Y150" s="354"/>
    </row>
    <row r="151" spans="1:26" s="1245" customFormat="1" ht="21.75" customHeight="1" x14ac:dyDescent="0.2">
      <c r="A151" s="2844"/>
      <c r="B151" s="2845"/>
      <c r="C151" s="3806"/>
      <c r="D151" s="3829"/>
      <c r="E151" s="1290">
        <v>19</v>
      </c>
      <c r="F151" s="3849"/>
      <c r="G151" s="2204" t="s">
        <v>1104</v>
      </c>
      <c r="H151" s="3822" t="s">
        <v>33</v>
      </c>
      <c r="I151" s="1238">
        <f t="shared" si="45"/>
        <v>6.6</v>
      </c>
      <c r="J151" s="726">
        <v>6.6</v>
      </c>
      <c r="K151" s="726">
        <v>6.2</v>
      </c>
      <c r="L151" s="727"/>
      <c r="M151" s="1238">
        <f t="shared" si="44"/>
        <v>9.4</v>
      </c>
      <c r="N151" s="726">
        <v>9.4</v>
      </c>
      <c r="O151" s="726">
        <v>9</v>
      </c>
      <c r="P151" s="727"/>
      <c r="Q151" s="1268">
        <f t="shared" si="41"/>
        <v>9.4</v>
      </c>
      <c r="R151" s="726">
        <v>9.4</v>
      </c>
      <c r="S151" s="726">
        <v>9</v>
      </c>
      <c r="T151" s="728"/>
      <c r="U151" s="1238">
        <f t="shared" si="42"/>
        <v>9.4</v>
      </c>
      <c r="V151" s="726">
        <v>9.4</v>
      </c>
      <c r="W151" s="726">
        <v>9</v>
      </c>
      <c r="X151" s="1239"/>
      <c r="Y151" s="354"/>
    </row>
    <row r="152" spans="1:26" s="1245" customFormat="1" ht="21.75" customHeight="1" x14ac:dyDescent="0.2">
      <c r="A152" s="2844"/>
      <c r="B152" s="2845"/>
      <c r="C152" s="3806"/>
      <c r="D152" s="3829"/>
      <c r="E152" s="1290">
        <v>21</v>
      </c>
      <c r="F152" s="3849"/>
      <c r="G152" s="2204" t="s">
        <v>1105</v>
      </c>
      <c r="H152" s="3822"/>
      <c r="I152" s="1238">
        <f t="shared" si="45"/>
        <v>13.2</v>
      </c>
      <c r="J152" s="726">
        <v>13.2</v>
      </c>
      <c r="K152" s="726">
        <v>13</v>
      </c>
      <c r="L152" s="727"/>
      <c r="M152" s="1238">
        <f t="shared" si="44"/>
        <v>21.3</v>
      </c>
      <c r="N152" s="726">
        <v>21.3</v>
      </c>
      <c r="O152" s="726">
        <v>21</v>
      </c>
      <c r="P152" s="727"/>
      <c r="Q152" s="1268">
        <f t="shared" si="41"/>
        <v>21.3</v>
      </c>
      <c r="R152" s="726">
        <v>21.3</v>
      </c>
      <c r="S152" s="726">
        <v>21</v>
      </c>
      <c r="T152" s="728"/>
      <c r="U152" s="1238">
        <f t="shared" si="42"/>
        <v>21.3</v>
      </c>
      <c r="V152" s="726">
        <v>21.3</v>
      </c>
      <c r="W152" s="726">
        <v>21</v>
      </c>
      <c r="X152" s="1239"/>
      <c r="Y152" s="354"/>
      <c r="Z152" s="1526">
        <f>SUM(M151:M157)</f>
        <v>130.10000000000002</v>
      </c>
    </row>
    <row r="153" spans="1:26" s="1245" customFormat="1" ht="21.75" customHeight="1" x14ac:dyDescent="0.2">
      <c r="A153" s="2844"/>
      <c r="B153" s="2845"/>
      <c r="C153" s="3806"/>
      <c r="D153" s="3829"/>
      <c r="E153" s="1290">
        <v>24</v>
      </c>
      <c r="F153" s="3849"/>
      <c r="G153" s="2204" t="s">
        <v>1106</v>
      </c>
      <c r="H153" s="3822"/>
      <c r="I153" s="1238">
        <f t="shared" si="45"/>
        <v>13.5</v>
      </c>
      <c r="J153" s="726">
        <v>13.5</v>
      </c>
      <c r="K153" s="726">
        <v>13.3</v>
      </c>
      <c r="L153" s="727"/>
      <c r="M153" s="1238">
        <f t="shared" si="44"/>
        <v>21.3</v>
      </c>
      <c r="N153" s="726">
        <v>21.3</v>
      </c>
      <c r="O153" s="726">
        <v>21</v>
      </c>
      <c r="P153" s="727"/>
      <c r="Q153" s="1268">
        <f t="shared" si="41"/>
        <v>21.3</v>
      </c>
      <c r="R153" s="726">
        <v>21.3</v>
      </c>
      <c r="S153" s="726">
        <v>21</v>
      </c>
      <c r="T153" s="728"/>
      <c r="U153" s="1238">
        <f t="shared" si="42"/>
        <v>21.3</v>
      </c>
      <c r="V153" s="726">
        <v>21.3</v>
      </c>
      <c r="W153" s="726">
        <v>21</v>
      </c>
      <c r="X153" s="1239"/>
      <c r="Y153" s="354"/>
    </row>
    <row r="154" spans="1:26" s="1245" customFormat="1" ht="21.75" customHeight="1" x14ac:dyDescent="0.2">
      <c r="A154" s="2844"/>
      <c r="B154" s="2845"/>
      <c r="C154" s="3806"/>
      <c r="D154" s="3829"/>
      <c r="E154" s="1290">
        <v>26</v>
      </c>
      <c r="F154" s="3849"/>
      <c r="G154" s="2225" t="s">
        <v>1107</v>
      </c>
      <c r="H154" s="3822"/>
      <c r="I154" s="1238">
        <f t="shared" si="45"/>
        <v>13.7</v>
      </c>
      <c r="J154" s="726">
        <v>13.7</v>
      </c>
      <c r="K154" s="726">
        <v>13.5</v>
      </c>
      <c r="L154" s="727"/>
      <c r="M154" s="1238">
        <f t="shared" si="44"/>
        <v>20.399999999999999</v>
      </c>
      <c r="N154" s="726">
        <v>20.399999999999999</v>
      </c>
      <c r="O154" s="726">
        <v>20.100000000000001</v>
      </c>
      <c r="P154" s="727"/>
      <c r="Q154" s="1268">
        <f t="shared" si="41"/>
        <v>20.399999999999999</v>
      </c>
      <c r="R154" s="726">
        <v>20.399999999999999</v>
      </c>
      <c r="S154" s="726">
        <v>20.100000000000001</v>
      </c>
      <c r="T154" s="728"/>
      <c r="U154" s="1238">
        <f t="shared" si="42"/>
        <v>20.399999999999999</v>
      </c>
      <c r="V154" s="726">
        <v>20.399999999999999</v>
      </c>
      <c r="W154" s="726">
        <v>20.100000000000001</v>
      </c>
      <c r="X154" s="1239"/>
      <c r="Y154" s="354"/>
    </row>
    <row r="155" spans="1:26" s="1245" customFormat="1" ht="21.75" customHeight="1" x14ac:dyDescent="0.2">
      <c r="A155" s="2844"/>
      <c r="B155" s="2845"/>
      <c r="C155" s="3806"/>
      <c r="D155" s="3829"/>
      <c r="E155" s="1290">
        <v>27</v>
      </c>
      <c r="F155" s="3849"/>
      <c r="G155" s="2225" t="s">
        <v>1108</v>
      </c>
      <c r="H155" s="3822"/>
      <c r="I155" s="1238">
        <f t="shared" si="45"/>
        <v>11.3</v>
      </c>
      <c r="J155" s="726">
        <v>11.3</v>
      </c>
      <c r="K155" s="726">
        <v>11.1</v>
      </c>
      <c r="L155" s="727"/>
      <c r="M155" s="1238">
        <f t="shared" si="44"/>
        <v>16</v>
      </c>
      <c r="N155" s="726">
        <v>16</v>
      </c>
      <c r="O155" s="726">
        <v>15.8</v>
      </c>
      <c r="P155" s="727"/>
      <c r="Q155" s="1268">
        <f t="shared" si="41"/>
        <v>16</v>
      </c>
      <c r="R155" s="726">
        <v>16</v>
      </c>
      <c r="S155" s="726">
        <v>15.8</v>
      </c>
      <c r="T155" s="728"/>
      <c r="U155" s="1238">
        <f t="shared" si="42"/>
        <v>16</v>
      </c>
      <c r="V155" s="726">
        <v>16</v>
      </c>
      <c r="W155" s="726">
        <v>15.8</v>
      </c>
      <c r="X155" s="1239"/>
      <c r="Y155" s="354"/>
    </row>
    <row r="156" spans="1:26" s="1245" customFormat="1" ht="21.75" customHeight="1" x14ac:dyDescent="0.2">
      <c r="A156" s="2844"/>
      <c r="B156" s="2845"/>
      <c r="C156" s="3806"/>
      <c r="D156" s="3829"/>
      <c r="E156" s="1290">
        <v>28</v>
      </c>
      <c r="F156" s="3849"/>
      <c r="G156" s="2225" t="s">
        <v>1109</v>
      </c>
      <c r="H156" s="3822"/>
      <c r="I156" s="1238">
        <f t="shared" si="45"/>
        <v>14.3</v>
      </c>
      <c r="J156" s="726">
        <v>14.3</v>
      </c>
      <c r="K156" s="726">
        <v>14.1</v>
      </c>
      <c r="L156" s="727"/>
      <c r="M156" s="1238">
        <f t="shared" si="44"/>
        <v>20.399999999999999</v>
      </c>
      <c r="N156" s="726">
        <v>20.399999999999999</v>
      </c>
      <c r="O156" s="726">
        <v>20.100000000000001</v>
      </c>
      <c r="P156" s="727"/>
      <c r="Q156" s="1268">
        <f t="shared" si="41"/>
        <v>20.399999999999999</v>
      </c>
      <c r="R156" s="726">
        <v>20.399999999999999</v>
      </c>
      <c r="S156" s="726">
        <v>20.100000000000001</v>
      </c>
      <c r="T156" s="728"/>
      <c r="U156" s="1238">
        <f t="shared" si="42"/>
        <v>20.399999999999999</v>
      </c>
      <c r="V156" s="726">
        <v>20.399999999999999</v>
      </c>
      <c r="W156" s="726">
        <v>20.100000000000001</v>
      </c>
      <c r="X156" s="1239"/>
      <c r="Y156" s="354"/>
    </row>
    <row r="157" spans="1:26" s="1245" customFormat="1" ht="21.75" customHeight="1" thickBot="1" x14ac:dyDescent="0.25">
      <c r="A157" s="2844"/>
      <c r="B157" s="2845"/>
      <c r="C157" s="3806"/>
      <c r="D157" s="3829"/>
      <c r="E157" s="1290">
        <v>29</v>
      </c>
      <c r="F157" s="3850"/>
      <c r="G157" s="2224" t="s">
        <v>1110</v>
      </c>
      <c r="H157" s="3847"/>
      <c r="I157" s="1240">
        <f t="shared" si="45"/>
        <v>15</v>
      </c>
      <c r="J157" s="1241">
        <v>15</v>
      </c>
      <c r="K157" s="1241">
        <v>14.8</v>
      </c>
      <c r="L157" s="1242"/>
      <c r="M157" s="1240">
        <f t="shared" si="44"/>
        <v>21.3</v>
      </c>
      <c r="N157" s="1241">
        <v>21.3</v>
      </c>
      <c r="O157" s="1241">
        <v>21</v>
      </c>
      <c r="P157" s="1242"/>
      <c r="Q157" s="1291">
        <f t="shared" si="41"/>
        <v>21.3</v>
      </c>
      <c r="R157" s="1241">
        <v>21.3</v>
      </c>
      <c r="S157" s="1241">
        <v>21</v>
      </c>
      <c r="T157" s="736"/>
      <c r="U157" s="1292">
        <f t="shared" si="42"/>
        <v>21.3</v>
      </c>
      <c r="V157" s="1241">
        <v>21.3</v>
      </c>
      <c r="W157" s="1241">
        <v>21</v>
      </c>
      <c r="X157" s="1293"/>
      <c r="Y157" s="354"/>
    </row>
    <row r="158" spans="1:26" s="1245" customFormat="1" ht="28.35" customHeight="1" thickBot="1" x14ac:dyDescent="0.25">
      <c r="A158" s="2844"/>
      <c r="B158" s="2845"/>
      <c r="C158" s="3806"/>
      <c r="D158" s="3829"/>
      <c r="E158" s="2203"/>
      <c r="F158" s="2777" t="s">
        <v>35</v>
      </c>
      <c r="G158" s="2778"/>
      <c r="H158" s="2779"/>
      <c r="I158" s="714">
        <f>SUM(J158+L158)</f>
        <v>289.09999999999997</v>
      </c>
      <c r="J158" s="711">
        <f>SUM(J147:J157)</f>
        <v>289.09999999999997</v>
      </c>
      <c r="K158" s="711">
        <f>SUM(K147:K157)</f>
        <v>278.8</v>
      </c>
      <c r="L158" s="711">
        <f>SUM(L147:L157)</f>
        <v>0</v>
      </c>
      <c r="M158" s="1294">
        <f t="shared" si="44"/>
        <v>398.99999999999994</v>
      </c>
      <c r="N158" s="711">
        <f>SUM(N147:N157)</f>
        <v>398.99999999999994</v>
      </c>
      <c r="O158" s="711">
        <f>SUM(O147:O157)</f>
        <v>386.20000000000005</v>
      </c>
      <c r="P158" s="713">
        <f>SUM(P147:P157)</f>
        <v>0</v>
      </c>
      <c r="Q158" s="714">
        <f t="shared" si="41"/>
        <v>389.4</v>
      </c>
      <c r="R158" s="711">
        <f>SUM(R147:R157)</f>
        <v>389.4</v>
      </c>
      <c r="S158" s="711">
        <f>SUM(S147:S157)</f>
        <v>376.40000000000003</v>
      </c>
      <c r="T158" s="712">
        <f>SUM(T147:T157)</f>
        <v>0</v>
      </c>
      <c r="U158" s="714">
        <f t="shared" si="42"/>
        <v>389.4</v>
      </c>
      <c r="V158" s="711">
        <f>SUM(V147:V157)</f>
        <v>389.4</v>
      </c>
      <c r="W158" s="711">
        <f>SUM(W147:W157)</f>
        <v>376.40000000000003</v>
      </c>
      <c r="X158" s="712">
        <f>SUM(X147:X157)</f>
        <v>0</v>
      </c>
      <c r="Y158" s="354"/>
    </row>
    <row r="159" spans="1:26" ht="22.5" customHeight="1" x14ac:dyDescent="0.2">
      <c r="A159" s="2844">
        <v>1</v>
      </c>
      <c r="B159" s="2845">
        <v>2</v>
      </c>
      <c r="C159" s="3806">
        <v>11</v>
      </c>
      <c r="D159" s="3829" t="s">
        <v>1111</v>
      </c>
      <c r="E159" s="3787">
        <v>30</v>
      </c>
      <c r="F159" s="3837" t="s">
        <v>1112</v>
      </c>
      <c r="G159" s="3837" t="s">
        <v>1113</v>
      </c>
      <c r="H159" s="1295" t="s">
        <v>30</v>
      </c>
      <c r="I159" s="1238">
        <f>SUM(J159+L159)</f>
        <v>68.5</v>
      </c>
      <c r="J159" s="718">
        <v>31.2</v>
      </c>
      <c r="K159" s="718">
        <v>19.100000000000001</v>
      </c>
      <c r="L159" s="720">
        <f>42.8-5.5</f>
        <v>37.299999999999997</v>
      </c>
      <c r="M159" s="1235">
        <f t="shared" ref="M159:M163" si="46">SUM(N159+P159)</f>
        <v>54.6</v>
      </c>
      <c r="N159" s="718">
        <v>18.600000000000001</v>
      </c>
      <c r="O159" s="718">
        <v>13.4</v>
      </c>
      <c r="P159" s="720">
        <v>36</v>
      </c>
      <c r="Q159" s="1296">
        <f t="shared" si="41"/>
        <v>15.6</v>
      </c>
      <c r="R159" s="718">
        <v>15.6</v>
      </c>
      <c r="S159" s="718">
        <v>13.4</v>
      </c>
      <c r="T159" s="720"/>
      <c r="U159" s="1246">
        <f t="shared" si="42"/>
        <v>15.6</v>
      </c>
      <c r="V159" s="718">
        <v>15.6</v>
      </c>
      <c r="W159" s="718">
        <v>13.4</v>
      </c>
      <c r="X159" s="720"/>
      <c r="Y159" s="354"/>
    </row>
    <row r="160" spans="1:26" s="1245" customFormat="1" ht="22.5" customHeight="1" x14ac:dyDescent="0.2">
      <c r="A160" s="2844"/>
      <c r="B160" s="2845"/>
      <c r="C160" s="3806"/>
      <c r="D160" s="3829"/>
      <c r="E160" s="3787"/>
      <c r="F160" s="3806"/>
      <c r="G160" s="3806"/>
      <c r="H160" s="1297" t="s">
        <v>33</v>
      </c>
      <c r="I160" s="1238">
        <f>SUM(J160+L160)</f>
        <v>728.5</v>
      </c>
      <c r="J160" s="726">
        <f>666.1+62.4</f>
        <v>728.5</v>
      </c>
      <c r="K160" s="726">
        <f>609.5+58.4</f>
        <v>667.9</v>
      </c>
      <c r="L160" s="727"/>
      <c r="M160" s="1238">
        <f t="shared" si="46"/>
        <v>798.6</v>
      </c>
      <c r="N160" s="726">
        <v>798.6</v>
      </c>
      <c r="O160" s="726">
        <v>738.1</v>
      </c>
      <c r="P160" s="727"/>
      <c r="Q160" s="1268">
        <f t="shared" ref="Q160:Q170" si="47">SUM(R160+T160)</f>
        <v>798.6</v>
      </c>
      <c r="R160" s="726">
        <v>798.6</v>
      </c>
      <c r="S160" s="726">
        <v>692.1</v>
      </c>
      <c r="T160" s="727"/>
      <c r="U160" s="1238">
        <f t="shared" si="42"/>
        <v>798.6</v>
      </c>
      <c r="V160" s="726">
        <v>798.6</v>
      </c>
      <c r="W160" s="726">
        <v>692.1</v>
      </c>
      <c r="X160" s="727"/>
      <c r="Y160" s="354"/>
    </row>
    <row r="161" spans="1:26" s="1245" customFormat="1" ht="22.5" customHeight="1" thickBot="1" x14ac:dyDescent="0.25">
      <c r="A161" s="2844"/>
      <c r="B161" s="2845"/>
      <c r="C161" s="3806"/>
      <c r="D161" s="3829"/>
      <c r="E161" s="3787"/>
      <c r="F161" s="3806"/>
      <c r="G161" s="3806"/>
      <c r="H161" s="1297" t="s">
        <v>34</v>
      </c>
      <c r="I161" s="1238">
        <f>SUM(J161+L161)</f>
        <v>0.5</v>
      </c>
      <c r="J161" s="725">
        <v>0.5</v>
      </c>
      <c r="K161" s="725"/>
      <c r="L161" s="1298"/>
      <c r="M161" s="1238">
        <f t="shared" si="46"/>
        <v>3</v>
      </c>
      <c r="N161" s="725">
        <v>3</v>
      </c>
      <c r="O161" s="725"/>
      <c r="P161" s="1298"/>
      <c r="Q161" s="1268">
        <f t="shared" si="47"/>
        <v>3</v>
      </c>
      <c r="R161" s="725">
        <v>3</v>
      </c>
      <c r="S161" s="725"/>
      <c r="T161" s="1298"/>
      <c r="U161" s="1238">
        <f t="shared" si="42"/>
        <v>3</v>
      </c>
      <c r="V161" s="725">
        <v>3</v>
      </c>
      <c r="W161" s="725"/>
      <c r="X161" s="1298"/>
      <c r="Y161" s="354"/>
    </row>
    <row r="162" spans="1:26" s="1245" customFormat="1" ht="25.35" customHeight="1" thickBot="1" x14ac:dyDescent="0.25">
      <c r="A162" s="2844"/>
      <c r="B162" s="2845"/>
      <c r="C162" s="3806"/>
      <c r="D162" s="3829"/>
      <c r="E162" s="3787"/>
      <c r="F162" s="2777" t="s">
        <v>35</v>
      </c>
      <c r="G162" s="2778"/>
      <c r="H162" s="2779"/>
      <c r="I162" s="714">
        <f>SUM(J162+L162)</f>
        <v>797.5</v>
      </c>
      <c r="J162" s="711">
        <f>SUM(J159:J161)</f>
        <v>760.2</v>
      </c>
      <c r="K162" s="711">
        <f>SUM(K159:K161)</f>
        <v>687</v>
      </c>
      <c r="L162" s="713">
        <f>SUM(L159:L161)</f>
        <v>37.299999999999997</v>
      </c>
      <c r="M162" s="363">
        <f t="shared" si="46"/>
        <v>856.2</v>
      </c>
      <c r="N162" s="711">
        <f>SUM(N159:N161)</f>
        <v>820.2</v>
      </c>
      <c r="O162" s="711">
        <f>SUM(O159:O161)</f>
        <v>751.5</v>
      </c>
      <c r="P162" s="712">
        <f>SUM(P159:P161)</f>
        <v>36</v>
      </c>
      <c r="Q162" s="714">
        <f t="shared" si="47"/>
        <v>817.2</v>
      </c>
      <c r="R162" s="711">
        <f>SUM(R159:R161)</f>
        <v>817.2</v>
      </c>
      <c r="S162" s="711">
        <f>SUM(S159:S161)</f>
        <v>705.5</v>
      </c>
      <c r="T162" s="712">
        <f>SUM(T159:T161)</f>
        <v>0</v>
      </c>
      <c r="U162" s="714">
        <f t="shared" si="42"/>
        <v>817.2</v>
      </c>
      <c r="V162" s="711">
        <f>SUM(V159:V161)</f>
        <v>817.2</v>
      </c>
      <c r="W162" s="711">
        <f>SUM(W159:W161)</f>
        <v>705.5</v>
      </c>
      <c r="X162" s="712">
        <f>SUM(X159:X161)</f>
        <v>0</v>
      </c>
      <c r="Y162" s="354"/>
    </row>
    <row r="163" spans="1:26" s="1245" customFormat="1" ht="27.75" customHeight="1" x14ac:dyDescent="0.2">
      <c r="A163" s="2920">
        <v>1</v>
      </c>
      <c r="B163" s="2851">
        <v>2</v>
      </c>
      <c r="C163" s="3803">
        <v>12</v>
      </c>
      <c r="D163" s="3798" t="s">
        <v>1114</v>
      </c>
      <c r="E163" s="3851">
        <v>8</v>
      </c>
      <c r="F163" s="2097" t="s">
        <v>1115</v>
      </c>
      <c r="G163" s="2613" t="s">
        <v>1116</v>
      </c>
      <c r="H163" s="1261" t="s">
        <v>30</v>
      </c>
      <c r="I163" s="1238">
        <f t="shared" ref="I163:I169" si="48">SUM(J163)</f>
        <v>272.2</v>
      </c>
      <c r="J163" s="706">
        <v>272.2</v>
      </c>
      <c r="K163" s="706">
        <v>266.8</v>
      </c>
      <c r="L163" s="707"/>
      <c r="M163" s="1299">
        <f t="shared" si="46"/>
        <v>319.39999999999998</v>
      </c>
      <c r="N163" s="706">
        <v>319.39999999999998</v>
      </c>
      <c r="O163" s="706">
        <v>312.10000000000002</v>
      </c>
      <c r="P163" s="707"/>
      <c r="Q163" s="1289">
        <f t="shared" si="47"/>
        <v>319.39999999999998</v>
      </c>
      <c r="R163" s="706">
        <v>319.39999999999998</v>
      </c>
      <c r="S163" s="706">
        <v>312.10000000000002</v>
      </c>
      <c r="T163" s="708"/>
      <c r="U163" s="1235">
        <f t="shared" si="42"/>
        <v>319.39999999999998</v>
      </c>
      <c r="V163" s="706">
        <v>319.39999999999998</v>
      </c>
      <c r="W163" s="706">
        <v>312.10000000000002</v>
      </c>
      <c r="X163" s="56"/>
      <c r="Y163" s="354"/>
    </row>
    <row r="164" spans="1:26" s="1245" customFormat="1" ht="27.75" customHeight="1" x14ac:dyDescent="0.2">
      <c r="A164" s="2920"/>
      <c r="B164" s="2851"/>
      <c r="C164" s="3803"/>
      <c r="D164" s="3798"/>
      <c r="E164" s="3819"/>
      <c r="F164" s="2209" t="s">
        <v>580</v>
      </c>
      <c r="G164" s="2613"/>
      <c r="H164" s="3853" t="s">
        <v>509</v>
      </c>
      <c r="I164" s="1238">
        <f t="shared" si="48"/>
        <v>133.80000000000001</v>
      </c>
      <c r="J164" s="726">
        <v>133.80000000000001</v>
      </c>
      <c r="K164" s="726">
        <v>97</v>
      </c>
      <c r="L164" s="727"/>
      <c r="M164" s="1238">
        <f t="shared" ref="M164:M169" si="49">SUM(N164)</f>
        <v>126.7</v>
      </c>
      <c r="N164" s="726">
        <v>126.7</v>
      </c>
      <c r="O164" s="726">
        <v>105</v>
      </c>
      <c r="P164" s="727"/>
      <c r="Q164" s="1289">
        <f t="shared" si="47"/>
        <v>126.7</v>
      </c>
      <c r="R164" s="726">
        <v>126.7</v>
      </c>
      <c r="S164" s="726">
        <v>105</v>
      </c>
      <c r="T164" s="728"/>
      <c r="U164" s="1238">
        <f t="shared" si="42"/>
        <v>126.7</v>
      </c>
      <c r="V164" s="726">
        <v>126.7</v>
      </c>
      <c r="W164" s="726">
        <v>105</v>
      </c>
      <c r="X164" s="71"/>
      <c r="Y164" s="354"/>
    </row>
    <row r="165" spans="1:26" s="1245" customFormat="1" ht="27.75" customHeight="1" x14ac:dyDescent="0.2">
      <c r="A165" s="2920"/>
      <c r="B165" s="2851"/>
      <c r="C165" s="3803"/>
      <c r="D165" s="3798"/>
      <c r="E165" s="3819"/>
      <c r="F165" s="2209" t="s">
        <v>1117</v>
      </c>
      <c r="G165" s="2613"/>
      <c r="H165" s="3853"/>
      <c r="I165" s="1238">
        <f t="shared" si="48"/>
        <v>14.5</v>
      </c>
      <c r="J165" s="58">
        <f>13.7+0.8</f>
        <v>14.5</v>
      </c>
      <c r="K165" s="58">
        <v>12.2</v>
      </c>
      <c r="L165" s="727"/>
      <c r="M165" s="1300">
        <f t="shared" si="49"/>
        <v>16.5</v>
      </c>
      <c r="N165" s="58">
        <v>16.5</v>
      </c>
      <c r="O165" s="58">
        <v>12.2</v>
      </c>
      <c r="P165" s="727"/>
      <c r="Q165" s="1289">
        <f t="shared" si="47"/>
        <v>16.5</v>
      </c>
      <c r="R165" s="58">
        <v>16.5</v>
      </c>
      <c r="S165" s="58">
        <v>12.2</v>
      </c>
      <c r="T165" s="728"/>
      <c r="U165" s="1238">
        <f t="shared" si="42"/>
        <v>16.5</v>
      </c>
      <c r="V165" s="58">
        <v>16.5</v>
      </c>
      <c r="W165" s="58">
        <v>12.2</v>
      </c>
      <c r="X165" s="71"/>
      <c r="Y165" s="354"/>
    </row>
    <row r="166" spans="1:26" s="1245" customFormat="1" ht="27.75" hidden="1" customHeight="1" x14ac:dyDescent="0.2">
      <c r="A166" s="2920"/>
      <c r="B166" s="2851"/>
      <c r="C166" s="3803"/>
      <c r="D166" s="3798"/>
      <c r="E166" s="3819"/>
      <c r="F166" s="2209" t="s">
        <v>1118</v>
      </c>
      <c r="G166" s="2613"/>
      <c r="H166" s="1284" t="s">
        <v>33</v>
      </c>
      <c r="I166" s="1238"/>
      <c r="J166" s="70"/>
      <c r="K166" s="70"/>
      <c r="L166" s="727"/>
      <c r="M166" s="1238">
        <f t="shared" si="49"/>
        <v>0</v>
      </c>
      <c r="N166" s="70"/>
      <c r="O166" s="70"/>
      <c r="P166" s="727"/>
      <c r="Q166" s="1289">
        <f t="shared" si="47"/>
        <v>0</v>
      </c>
      <c r="R166" s="70"/>
      <c r="S166" s="70"/>
      <c r="T166" s="728"/>
      <c r="U166" s="1238">
        <f t="shared" si="42"/>
        <v>0</v>
      </c>
      <c r="V166" s="70"/>
      <c r="W166" s="70"/>
      <c r="X166" s="71"/>
      <c r="Y166" s="354"/>
    </row>
    <row r="167" spans="1:26" s="1245" customFormat="1" ht="27.75" customHeight="1" x14ac:dyDescent="0.2">
      <c r="A167" s="2920"/>
      <c r="B167" s="2851"/>
      <c r="C167" s="3803"/>
      <c r="D167" s="3798"/>
      <c r="E167" s="3819"/>
      <c r="F167" s="2209" t="s">
        <v>1119</v>
      </c>
      <c r="G167" s="2613"/>
      <c r="H167" s="3854" t="s">
        <v>33</v>
      </c>
      <c r="I167" s="1238">
        <f t="shared" si="48"/>
        <v>7</v>
      </c>
      <c r="J167" s="726">
        <v>7</v>
      </c>
      <c r="K167" s="726">
        <v>6.9</v>
      </c>
      <c r="L167" s="727"/>
      <c r="M167" s="1238">
        <f t="shared" si="49"/>
        <v>6.9</v>
      </c>
      <c r="N167" s="726">
        <v>6.9</v>
      </c>
      <c r="O167" s="726">
        <v>6.8</v>
      </c>
      <c r="P167" s="727"/>
      <c r="Q167" s="1289">
        <f t="shared" si="47"/>
        <v>6.9</v>
      </c>
      <c r="R167" s="726">
        <v>6.9</v>
      </c>
      <c r="S167" s="726">
        <v>6.8</v>
      </c>
      <c r="T167" s="728"/>
      <c r="U167" s="1238">
        <f t="shared" si="42"/>
        <v>6.9</v>
      </c>
      <c r="V167" s="726">
        <v>6.9</v>
      </c>
      <c r="W167" s="726">
        <v>6.8</v>
      </c>
      <c r="X167" s="71"/>
      <c r="Y167" s="354"/>
    </row>
    <row r="168" spans="1:26" s="1245" customFormat="1" ht="27.75" customHeight="1" x14ac:dyDescent="0.2">
      <c r="A168" s="2920"/>
      <c r="B168" s="2851"/>
      <c r="C168" s="3803"/>
      <c r="D168" s="3798"/>
      <c r="E168" s="3819"/>
      <c r="F168" s="2209" t="s">
        <v>580</v>
      </c>
      <c r="G168" s="2613"/>
      <c r="H168" s="3855"/>
      <c r="I168" s="1238">
        <f t="shared" si="48"/>
        <v>27.7</v>
      </c>
      <c r="J168" s="726">
        <f>21.5+6.2</f>
        <v>27.7</v>
      </c>
      <c r="K168" s="726">
        <f>21.2+6.1</f>
        <v>27.299999999999997</v>
      </c>
      <c r="L168" s="727"/>
      <c r="M168" s="1238">
        <f t="shared" si="49"/>
        <v>27.1</v>
      </c>
      <c r="N168" s="726">
        <v>27.1</v>
      </c>
      <c r="O168" s="726">
        <v>26.7</v>
      </c>
      <c r="P168" s="727"/>
      <c r="Q168" s="1289">
        <f t="shared" si="47"/>
        <v>27.1</v>
      </c>
      <c r="R168" s="726">
        <v>27.1</v>
      </c>
      <c r="S168" s="726">
        <v>26.7</v>
      </c>
      <c r="T168" s="728"/>
      <c r="U168" s="1238">
        <f t="shared" si="42"/>
        <v>27.1</v>
      </c>
      <c r="V168" s="726">
        <v>27.1</v>
      </c>
      <c r="W168" s="726">
        <v>26.7</v>
      </c>
      <c r="X168" s="71"/>
      <c r="Y168" s="354"/>
      <c r="Z168" s="1526">
        <f>SUM(M167:M169)</f>
        <v>65.5</v>
      </c>
    </row>
    <row r="169" spans="1:26" s="1245" customFormat="1" ht="27.75" customHeight="1" thickBot="1" x14ac:dyDescent="0.25">
      <c r="A169" s="2920"/>
      <c r="B169" s="2851"/>
      <c r="C169" s="3803"/>
      <c r="D169" s="3798"/>
      <c r="E169" s="3819"/>
      <c r="F169" s="2206" t="s">
        <v>1120</v>
      </c>
      <c r="G169" s="3852"/>
      <c r="H169" s="3856"/>
      <c r="I169" s="1238">
        <f t="shared" si="48"/>
        <v>26.7</v>
      </c>
      <c r="J169" s="734">
        <v>26.7</v>
      </c>
      <c r="K169" s="734">
        <v>26.3</v>
      </c>
      <c r="L169" s="735"/>
      <c r="M169" s="1292">
        <f t="shared" si="49"/>
        <v>31.5</v>
      </c>
      <c r="N169" s="734">
        <v>31.5</v>
      </c>
      <c r="O169" s="734">
        <v>31</v>
      </c>
      <c r="P169" s="735"/>
      <c r="Q169" s="1296">
        <f t="shared" si="47"/>
        <v>31.5</v>
      </c>
      <c r="R169" s="734">
        <v>31.5</v>
      </c>
      <c r="S169" s="734">
        <v>31</v>
      </c>
      <c r="T169" s="736"/>
      <c r="U169" s="1240">
        <f t="shared" si="42"/>
        <v>31.5</v>
      </c>
      <c r="V169" s="734">
        <v>31.5</v>
      </c>
      <c r="W169" s="734">
        <v>31</v>
      </c>
      <c r="X169" s="76"/>
      <c r="Y169" s="354"/>
    </row>
    <row r="170" spans="1:26" s="1245" customFormat="1" ht="21" customHeight="1" thickBot="1" x14ac:dyDescent="0.25">
      <c r="A170" s="2917"/>
      <c r="B170" s="2852"/>
      <c r="C170" s="3837"/>
      <c r="D170" s="3799"/>
      <c r="E170" s="3820"/>
      <c r="F170" s="2777" t="s">
        <v>35</v>
      </c>
      <c r="G170" s="2778"/>
      <c r="H170" s="2779"/>
      <c r="I170" s="714">
        <f>SUM(J170+L170)</f>
        <v>481.9</v>
      </c>
      <c r="J170" s="711">
        <f>SUM(J163:J169)</f>
        <v>481.9</v>
      </c>
      <c r="K170" s="711">
        <f t="shared" ref="K170:X170" si="50">SUM(K163:K169)</f>
        <v>436.5</v>
      </c>
      <c r="L170" s="713">
        <f t="shared" si="50"/>
        <v>0</v>
      </c>
      <c r="M170" s="714">
        <f>SUM(N170+P170)</f>
        <v>528.09999999999991</v>
      </c>
      <c r="N170" s="711">
        <f t="shared" si="50"/>
        <v>528.09999999999991</v>
      </c>
      <c r="O170" s="711">
        <f t="shared" si="50"/>
        <v>493.8</v>
      </c>
      <c r="P170" s="712">
        <f t="shared" si="50"/>
        <v>0</v>
      </c>
      <c r="Q170" s="714">
        <f t="shared" si="47"/>
        <v>528.09999999999991</v>
      </c>
      <c r="R170" s="711">
        <f>SUM(R163:R169)</f>
        <v>528.09999999999991</v>
      </c>
      <c r="S170" s="711">
        <f t="shared" si="50"/>
        <v>493.8</v>
      </c>
      <c r="T170" s="712">
        <f t="shared" si="50"/>
        <v>0</v>
      </c>
      <c r="U170" s="714">
        <f t="shared" si="42"/>
        <v>528.09999999999991</v>
      </c>
      <c r="V170" s="711">
        <f t="shared" si="50"/>
        <v>528.09999999999991</v>
      </c>
      <c r="W170" s="711">
        <f t="shared" si="50"/>
        <v>493.8</v>
      </c>
      <c r="X170" s="712">
        <f t="shared" si="50"/>
        <v>0</v>
      </c>
      <c r="Y170" s="354"/>
    </row>
    <row r="171" spans="1:26" s="1245" customFormat="1" ht="21" customHeight="1" x14ac:dyDescent="0.2">
      <c r="A171" s="2916">
        <v>1</v>
      </c>
      <c r="B171" s="2850">
        <v>2</v>
      </c>
      <c r="C171" s="3845">
        <v>13</v>
      </c>
      <c r="D171" s="3797" t="s">
        <v>1121</v>
      </c>
      <c r="E171" s="3857" t="s">
        <v>794</v>
      </c>
      <c r="F171" s="2209" t="s">
        <v>1120</v>
      </c>
      <c r="G171" s="3858" t="s">
        <v>1122</v>
      </c>
      <c r="H171" s="2210" t="s">
        <v>509</v>
      </c>
      <c r="I171" s="1238">
        <f>SUM(J171+L171)</f>
        <v>4.9000000000000004</v>
      </c>
      <c r="J171" s="706">
        <v>4.9000000000000004</v>
      </c>
      <c r="K171" s="706">
        <v>4.8</v>
      </c>
      <c r="L171" s="708"/>
      <c r="M171" s="1246">
        <f t="shared" ref="M171:M192" si="51">SUM(N171+P171)</f>
        <v>5.3</v>
      </c>
      <c r="N171" s="706">
        <v>5.3</v>
      </c>
      <c r="O171" s="706">
        <v>5.2</v>
      </c>
      <c r="P171" s="708"/>
      <c r="Q171" s="1246">
        <f t="shared" ref="Q171:Q192" si="52">SUM(R171+T171)</f>
        <v>5.3</v>
      </c>
      <c r="R171" s="706">
        <v>5.3</v>
      </c>
      <c r="S171" s="706">
        <v>5.2</v>
      </c>
      <c r="T171" s="708"/>
      <c r="U171" s="1235">
        <f t="shared" si="42"/>
        <v>5.3</v>
      </c>
      <c r="V171" s="706">
        <v>5.3</v>
      </c>
      <c r="W171" s="706">
        <v>5.2</v>
      </c>
      <c r="X171" s="56"/>
      <c r="Y171" s="354"/>
    </row>
    <row r="172" spans="1:26" s="1245" customFormat="1" ht="21" customHeight="1" x14ac:dyDescent="0.2">
      <c r="A172" s="2920"/>
      <c r="B172" s="2851"/>
      <c r="C172" s="3803"/>
      <c r="D172" s="3798"/>
      <c r="E172" s="3857"/>
      <c r="F172" s="2209" t="s">
        <v>1115</v>
      </c>
      <c r="G172" s="3858"/>
      <c r="H172" s="2210" t="s">
        <v>30</v>
      </c>
      <c r="I172" s="1238">
        <f t="shared" ref="I172:I212" si="53">SUM(J172+L172)</f>
        <v>17.8</v>
      </c>
      <c r="J172" s="726">
        <v>17.8</v>
      </c>
      <c r="K172" s="726">
        <v>16.399999999999999</v>
      </c>
      <c r="L172" s="728"/>
      <c r="M172" s="1246">
        <f t="shared" si="51"/>
        <v>22.5</v>
      </c>
      <c r="N172" s="726">
        <v>22.5</v>
      </c>
      <c r="O172" s="726">
        <v>20.6</v>
      </c>
      <c r="P172" s="728"/>
      <c r="Q172" s="1246">
        <f t="shared" si="52"/>
        <v>22.5</v>
      </c>
      <c r="R172" s="726">
        <v>22.5</v>
      </c>
      <c r="S172" s="726">
        <v>20.6</v>
      </c>
      <c r="T172" s="728"/>
      <c r="U172" s="1246">
        <f t="shared" si="42"/>
        <v>22.5</v>
      </c>
      <c r="V172" s="726">
        <v>22.5</v>
      </c>
      <c r="W172" s="726">
        <v>20.6</v>
      </c>
      <c r="X172" s="71"/>
      <c r="Y172" s="354"/>
    </row>
    <row r="173" spans="1:26" s="1245" customFormat="1" ht="21" customHeight="1" x14ac:dyDescent="0.2">
      <c r="A173" s="2920"/>
      <c r="B173" s="2851"/>
      <c r="C173" s="3803"/>
      <c r="D173" s="3798"/>
      <c r="E173" s="3857" t="s">
        <v>1123</v>
      </c>
      <c r="F173" s="2209" t="s">
        <v>1120</v>
      </c>
      <c r="G173" s="3858" t="s">
        <v>1124</v>
      </c>
      <c r="H173" s="2210" t="s">
        <v>509</v>
      </c>
      <c r="I173" s="1238">
        <f t="shared" si="53"/>
        <v>4.9000000000000004</v>
      </c>
      <c r="J173" s="726">
        <v>4.9000000000000004</v>
      </c>
      <c r="K173" s="726">
        <v>4.8</v>
      </c>
      <c r="L173" s="728"/>
      <c r="M173" s="1246">
        <f t="shared" si="51"/>
        <v>5.9</v>
      </c>
      <c r="N173" s="726">
        <v>5.9</v>
      </c>
      <c r="O173" s="726">
        <v>5.8</v>
      </c>
      <c r="P173" s="728"/>
      <c r="Q173" s="1246">
        <f t="shared" si="52"/>
        <v>5.9</v>
      </c>
      <c r="R173" s="726">
        <v>5.9</v>
      </c>
      <c r="S173" s="726">
        <v>5.8</v>
      </c>
      <c r="T173" s="728"/>
      <c r="U173" s="1246">
        <f t="shared" si="42"/>
        <v>5.9</v>
      </c>
      <c r="V173" s="726">
        <v>5.9</v>
      </c>
      <c r="W173" s="726">
        <v>5.8</v>
      </c>
      <c r="X173" s="71"/>
      <c r="Y173" s="354"/>
    </row>
    <row r="174" spans="1:26" s="1245" customFormat="1" ht="21" customHeight="1" x14ac:dyDescent="0.2">
      <c r="A174" s="2920"/>
      <c r="B174" s="2851"/>
      <c r="C174" s="3803"/>
      <c r="D174" s="3798"/>
      <c r="E174" s="3857"/>
      <c r="F174" s="2209" t="s">
        <v>1115</v>
      </c>
      <c r="G174" s="3858"/>
      <c r="H174" s="2210" t="s">
        <v>30</v>
      </c>
      <c r="I174" s="1238">
        <f t="shared" si="53"/>
        <v>15.9</v>
      </c>
      <c r="J174" s="726">
        <v>15.9</v>
      </c>
      <c r="K174" s="726">
        <v>15</v>
      </c>
      <c r="L174" s="728"/>
      <c r="M174" s="1246">
        <f t="shared" si="51"/>
        <v>25.3</v>
      </c>
      <c r="N174" s="726">
        <v>25.3</v>
      </c>
      <c r="O174" s="726">
        <v>23.3</v>
      </c>
      <c r="P174" s="728"/>
      <c r="Q174" s="1246">
        <f t="shared" si="52"/>
        <v>25.3</v>
      </c>
      <c r="R174" s="726">
        <v>25.3</v>
      </c>
      <c r="S174" s="726">
        <v>23.3</v>
      </c>
      <c r="T174" s="728"/>
      <c r="U174" s="1246">
        <f t="shared" si="42"/>
        <v>25.3</v>
      </c>
      <c r="V174" s="726">
        <v>25.3</v>
      </c>
      <c r="W174" s="726">
        <v>23.3</v>
      </c>
      <c r="X174" s="71"/>
      <c r="Y174" s="354"/>
    </row>
    <row r="175" spans="1:26" s="1245" customFormat="1" ht="21" customHeight="1" x14ac:dyDescent="0.2">
      <c r="A175" s="2920"/>
      <c r="B175" s="2851"/>
      <c r="C175" s="3803"/>
      <c r="D175" s="3798"/>
      <c r="E175" s="3857" t="s">
        <v>1125</v>
      </c>
      <c r="F175" s="2209" t="s">
        <v>1120</v>
      </c>
      <c r="G175" s="3858" t="s">
        <v>1126</v>
      </c>
      <c r="H175" s="2210" t="s">
        <v>509</v>
      </c>
      <c r="I175" s="1238">
        <f t="shared" si="53"/>
        <v>4.9000000000000004</v>
      </c>
      <c r="J175" s="726">
        <v>4.9000000000000004</v>
      </c>
      <c r="K175" s="726">
        <v>4.8</v>
      </c>
      <c r="L175" s="728"/>
      <c r="M175" s="1246">
        <f t="shared" si="51"/>
        <v>5.7</v>
      </c>
      <c r="N175" s="726">
        <v>5.7</v>
      </c>
      <c r="O175" s="726">
        <v>5.6</v>
      </c>
      <c r="P175" s="728"/>
      <c r="Q175" s="1246">
        <f t="shared" si="52"/>
        <v>5.7</v>
      </c>
      <c r="R175" s="726">
        <v>5.7</v>
      </c>
      <c r="S175" s="726">
        <v>5.6</v>
      </c>
      <c r="T175" s="728"/>
      <c r="U175" s="1246">
        <f t="shared" si="42"/>
        <v>5.7</v>
      </c>
      <c r="V175" s="726">
        <v>5.7</v>
      </c>
      <c r="W175" s="726">
        <v>5.6</v>
      </c>
      <c r="X175" s="71"/>
      <c r="Y175" s="354"/>
    </row>
    <row r="176" spans="1:26" s="1245" customFormat="1" ht="21" customHeight="1" x14ac:dyDescent="0.2">
      <c r="A176" s="2920"/>
      <c r="B176" s="2851"/>
      <c r="C176" s="3803"/>
      <c r="D176" s="3798"/>
      <c r="E176" s="3857"/>
      <c r="F176" s="2209" t="s">
        <v>1115</v>
      </c>
      <c r="G176" s="3858"/>
      <c r="H176" s="2210" t="s">
        <v>30</v>
      </c>
      <c r="I176" s="1238">
        <f t="shared" si="53"/>
        <v>16.8</v>
      </c>
      <c r="J176" s="726">
        <v>16.8</v>
      </c>
      <c r="K176" s="726">
        <v>15.3</v>
      </c>
      <c r="L176" s="728"/>
      <c r="M176" s="1246">
        <f t="shared" si="51"/>
        <v>24.5</v>
      </c>
      <c r="N176" s="726">
        <v>24.5</v>
      </c>
      <c r="O176" s="726">
        <v>22.5</v>
      </c>
      <c r="P176" s="728"/>
      <c r="Q176" s="1246">
        <f t="shared" si="52"/>
        <v>24.5</v>
      </c>
      <c r="R176" s="726">
        <v>24.5</v>
      </c>
      <c r="S176" s="726">
        <v>22.5</v>
      </c>
      <c r="T176" s="728"/>
      <c r="U176" s="1246">
        <f t="shared" si="42"/>
        <v>24.5</v>
      </c>
      <c r="V176" s="726">
        <v>24.5</v>
      </c>
      <c r="W176" s="726">
        <v>22.5</v>
      </c>
      <c r="X176" s="71"/>
      <c r="Y176" s="354"/>
    </row>
    <row r="177" spans="1:25" s="1245" customFormat="1" ht="21" customHeight="1" x14ac:dyDescent="0.2">
      <c r="A177" s="2920"/>
      <c r="B177" s="2851"/>
      <c r="C177" s="3803"/>
      <c r="D177" s="3798"/>
      <c r="E177" s="3857" t="s">
        <v>796</v>
      </c>
      <c r="F177" s="2209" t="s">
        <v>1120</v>
      </c>
      <c r="G177" s="3858" t="s">
        <v>1127</v>
      </c>
      <c r="H177" s="2210" t="s">
        <v>509</v>
      </c>
      <c r="I177" s="1238">
        <f t="shared" si="53"/>
        <v>4.9000000000000004</v>
      </c>
      <c r="J177" s="726">
        <v>4.9000000000000004</v>
      </c>
      <c r="K177" s="726">
        <v>4.8</v>
      </c>
      <c r="L177" s="728"/>
      <c r="M177" s="1246">
        <f t="shared" si="51"/>
        <v>5.7</v>
      </c>
      <c r="N177" s="726">
        <v>5.7</v>
      </c>
      <c r="O177" s="726">
        <v>5.6</v>
      </c>
      <c r="P177" s="728"/>
      <c r="Q177" s="1246">
        <f t="shared" si="52"/>
        <v>5.7</v>
      </c>
      <c r="R177" s="726">
        <v>5.7</v>
      </c>
      <c r="S177" s="726">
        <v>5.6</v>
      </c>
      <c r="T177" s="728"/>
      <c r="U177" s="1246">
        <f t="shared" si="42"/>
        <v>5.7</v>
      </c>
      <c r="V177" s="726">
        <v>5.7</v>
      </c>
      <c r="W177" s="726">
        <v>5.6</v>
      </c>
      <c r="X177" s="71"/>
      <c r="Y177" s="354"/>
    </row>
    <row r="178" spans="1:25" s="1245" customFormat="1" ht="21" customHeight="1" x14ac:dyDescent="0.2">
      <c r="A178" s="2920"/>
      <c r="B178" s="2851"/>
      <c r="C178" s="3803"/>
      <c r="D178" s="3798"/>
      <c r="E178" s="3857"/>
      <c r="F178" s="2209" t="s">
        <v>1115</v>
      </c>
      <c r="G178" s="3858"/>
      <c r="H178" s="2210" t="s">
        <v>30</v>
      </c>
      <c r="I178" s="1238">
        <f t="shared" si="53"/>
        <v>15.3</v>
      </c>
      <c r="J178" s="726">
        <v>15.3</v>
      </c>
      <c r="K178" s="726">
        <v>14.2</v>
      </c>
      <c r="L178" s="728"/>
      <c r="M178" s="1246">
        <f t="shared" si="51"/>
        <v>24.5</v>
      </c>
      <c r="N178" s="726">
        <v>24.5</v>
      </c>
      <c r="O178" s="726">
        <v>22.5</v>
      </c>
      <c r="P178" s="728"/>
      <c r="Q178" s="1246">
        <f t="shared" si="52"/>
        <v>24.5</v>
      </c>
      <c r="R178" s="726">
        <v>24.5</v>
      </c>
      <c r="S178" s="726">
        <v>22.5</v>
      </c>
      <c r="T178" s="728"/>
      <c r="U178" s="1246">
        <f t="shared" si="42"/>
        <v>24.5</v>
      </c>
      <c r="V178" s="726">
        <v>24.5</v>
      </c>
      <c r="W178" s="726">
        <v>22.5</v>
      </c>
      <c r="X178" s="71"/>
      <c r="Y178" s="354"/>
    </row>
    <row r="179" spans="1:25" s="1245" customFormat="1" ht="21" customHeight="1" x14ac:dyDescent="0.2">
      <c r="A179" s="2920"/>
      <c r="B179" s="2851"/>
      <c r="C179" s="3803"/>
      <c r="D179" s="3798"/>
      <c r="E179" s="3857" t="s">
        <v>798</v>
      </c>
      <c r="F179" s="2209" t="s">
        <v>1120</v>
      </c>
      <c r="G179" s="3858" t="s">
        <v>1128</v>
      </c>
      <c r="H179" s="2210" t="s">
        <v>509</v>
      </c>
      <c r="I179" s="1238">
        <f t="shared" si="53"/>
        <v>11.1</v>
      </c>
      <c r="J179" s="726">
        <v>11.1</v>
      </c>
      <c r="K179" s="726">
        <v>10.9</v>
      </c>
      <c r="L179" s="728"/>
      <c r="M179" s="1246">
        <f t="shared" si="51"/>
        <v>13.9</v>
      </c>
      <c r="N179" s="726">
        <v>13.9</v>
      </c>
      <c r="O179" s="726">
        <v>13.7</v>
      </c>
      <c r="P179" s="728"/>
      <c r="Q179" s="1246">
        <f t="shared" si="52"/>
        <v>13.9</v>
      </c>
      <c r="R179" s="726">
        <v>13.9</v>
      </c>
      <c r="S179" s="726">
        <v>13.7</v>
      </c>
      <c r="T179" s="728"/>
      <c r="U179" s="1246">
        <f t="shared" si="42"/>
        <v>13.9</v>
      </c>
      <c r="V179" s="726">
        <v>13.9</v>
      </c>
      <c r="W179" s="726">
        <v>13.7</v>
      </c>
      <c r="X179" s="71"/>
      <c r="Y179" s="354"/>
    </row>
    <row r="180" spans="1:25" s="1245" customFormat="1" ht="21" customHeight="1" x14ac:dyDescent="0.2">
      <c r="A180" s="2920"/>
      <c r="B180" s="2851"/>
      <c r="C180" s="3803"/>
      <c r="D180" s="3798"/>
      <c r="E180" s="3857"/>
      <c r="F180" s="2209" t="s">
        <v>1115</v>
      </c>
      <c r="G180" s="3858"/>
      <c r="H180" s="2210" t="s">
        <v>30</v>
      </c>
      <c r="I180" s="1238">
        <f t="shared" si="53"/>
        <v>35.799999999999997</v>
      </c>
      <c r="J180" s="726">
        <v>35.799999999999997</v>
      </c>
      <c r="K180" s="726">
        <v>35</v>
      </c>
      <c r="L180" s="728"/>
      <c r="M180" s="1246">
        <f t="shared" si="51"/>
        <v>57.3</v>
      </c>
      <c r="N180" s="726">
        <v>57.3</v>
      </c>
      <c r="O180" s="726">
        <v>54.7</v>
      </c>
      <c r="P180" s="728"/>
      <c r="Q180" s="1246">
        <f t="shared" si="52"/>
        <v>57.3</v>
      </c>
      <c r="R180" s="726">
        <v>57.3</v>
      </c>
      <c r="S180" s="726">
        <v>54.7</v>
      </c>
      <c r="T180" s="728"/>
      <c r="U180" s="1246">
        <f t="shared" si="42"/>
        <v>57.3</v>
      </c>
      <c r="V180" s="726">
        <v>57.3</v>
      </c>
      <c r="W180" s="726">
        <v>54.7</v>
      </c>
      <c r="X180" s="71"/>
      <c r="Y180" s="354"/>
    </row>
    <row r="181" spans="1:25" s="1245" customFormat="1" ht="21" customHeight="1" x14ac:dyDescent="0.2">
      <c r="A181" s="2920">
        <v>1</v>
      </c>
      <c r="B181" s="2851">
        <v>2</v>
      </c>
      <c r="C181" s="3803">
        <v>13</v>
      </c>
      <c r="D181" s="3798" t="s">
        <v>1121</v>
      </c>
      <c r="E181" s="2612" t="s">
        <v>1129</v>
      </c>
      <c r="F181" s="2209" t="s">
        <v>1120</v>
      </c>
      <c r="G181" s="2612" t="s">
        <v>1130</v>
      </c>
      <c r="H181" s="2210" t="s">
        <v>509</v>
      </c>
      <c r="I181" s="1238">
        <f t="shared" si="53"/>
        <v>2.5</v>
      </c>
      <c r="J181" s="726">
        <v>2.5</v>
      </c>
      <c r="K181" s="726">
        <v>2.4</v>
      </c>
      <c r="L181" s="728"/>
      <c r="M181" s="1246">
        <f t="shared" si="51"/>
        <v>2.9</v>
      </c>
      <c r="N181" s="726">
        <v>2.9</v>
      </c>
      <c r="O181" s="726">
        <v>2.8</v>
      </c>
      <c r="P181" s="728"/>
      <c r="Q181" s="1246">
        <f t="shared" si="52"/>
        <v>2.9</v>
      </c>
      <c r="R181" s="726">
        <v>2.9</v>
      </c>
      <c r="S181" s="726">
        <v>2.8</v>
      </c>
      <c r="T181" s="728"/>
      <c r="U181" s="1246">
        <f t="shared" si="42"/>
        <v>2.9</v>
      </c>
      <c r="V181" s="726">
        <v>2.9</v>
      </c>
      <c r="W181" s="726">
        <v>2.8</v>
      </c>
      <c r="X181" s="71"/>
      <c r="Y181" s="354"/>
    </row>
    <row r="182" spans="1:25" s="1245" customFormat="1" ht="21" customHeight="1" x14ac:dyDescent="0.2">
      <c r="A182" s="2920"/>
      <c r="B182" s="2851"/>
      <c r="C182" s="3803"/>
      <c r="D182" s="3798"/>
      <c r="E182" s="2613"/>
      <c r="F182" s="2209" t="s">
        <v>1115</v>
      </c>
      <c r="G182" s="2613"/>
      <c r="H182" s="2210" t="s">
        <v>30</v>
      </c>
      <c r="I182" s="1238">
        <f t="shared" si="53"/>
        <v>7.6</v>
      </c>
      <c r="J182" s="726">
        <v>7.6</v>
      </c>
      <c r="K182" s="726">
        <v>7.2</v>
      </c>
      <c r="L182" s="728"/>
      <c r="M182" s="1246">
        <f t="shared" si="51"/>
        <v>12.8</v>
      </c>
      <c r="N182" s="726">
        <v>12.8</v>
      </c>
      <c r="O182" s="726">
        <v>11.3</v>
      </c>
      <c r="P182" s="728"/>
      <c r="Q182" s="1246">
        <f t="shared" si="52"/>
        <v>12.8</v>
      </c>
      <c r="R182" s="726">
        <v>12.8</v>
      </c>
      <c r="S182" s="726">
        <v>11.3</v>
      </c>
      <c r="T182" s="728"/>
      <c r="U182" s="1246">
        <f t="shared" si="42"/>
        <v>12.8</v>
      </c>
      <c r="V182" s="726">
        <v>12.8</v>
      </c>
      <c r="W182" s="726">
        <v>11.3</v>
      </c>
      <c r="X182" s="71"/>
      <c r="Y182" s="354"/>
    </row>
    <row r="183" spans="1:25" s="1245" customFormat="1" ht="21" customHeight="1" x14ac:dyDescent="0.2">
      <c r="A183" s="2920"/>
      <c r="B183" s="2851"/>
      <c r="C183" s="3803"/>
      <c r="D183" s="3798"/>
      <c r="E183" s="3857" t="s">
        <v>1131</v>
      </c>
      <c r="F183" s="2209" t="s">
        <v>1120</v>
      </c>
      <c r="G183" s="3858" t="s">
        <v>1132</v>
      </c>
      <c r="H183" s="2210" t="s">
        <v>509</v>
      </c>
      <c r="I183" s="1238">
        <f t="shared" si="53"/>
        <v>4.9000000000000004</v>
      </c>
      <c r="J183" s="726">
        <v>4.9000000000000004</v>
      </c>
      <c r="K183" s="726">
        <f>4.8</f>
        <v>4.8</v>
      </c>
      <c r="L183" s="728"/>
      <c r="M183" s="1246">
        <f t="shared" si="51"/>
        <v>5.7</v>
      </c>
      <c r="N183" s="726">
        <v>5.7</v>
      </c>
      <c r="O183" s="726">
        <v>5.6</v>
      </c>
      <c r="P183" s="728"/>
      <c r="Q183" s="1246">
        <f t="shared" si="52"/>
        <v>5.7</v>
      </c>
      <c r="R183" s="726">
        <v>5.7</v>
      </c>
      <c r="S183" s="726">
        <v>5.6</v>
      </c>
      <c r="T183" s="728"/>
      <c r="U183" s="1246">
        <f t="shared" si="42"/>
        <v>5.7</v>
      </c>
      <c r="V183" s="726">
        <v>5.7</v>
      </c>
      <c r="W183" s="726">
        <v>5.6</v>
      </c>
      <c r="X183" s="71"/>
      <c r="Y183" s="354"/>
    </row>
    <row r="184" spans="1:25" s="1245" customFormat="1" ht="21" customHeight="1" x14ac:dyDescent="0.2">
      <c r="A184" s="2920"/>
      <c r="B184" s="2851"/>
      <c r="C184" s="3803"/>
      <c r="D184" s="3798"/>
      <c r="E184" s="3857"/>
      <c r="F184" s="2209" t="s">
        <v>1115</v>
      </c>
      <c r="G184" s="3858"/>
      <c r="H184" s="2210" t="s">
        <v>30</v>
      </c>
      <c r="I184" s="1238">
        <f t="shared" si="53"/>
        <v>18.399999999999999</v>
      </c>
      <c r="J184" s="726">
        <v>18.399999999999999</v>
      </c>
      <c r="K184" s="726">
        <v>17.899999999999999</v>
      </c>
      <c r="L184" s="728"/>
      <c r="M184" s="1246">
        <f t="shared" si="51"/>
        <v>24.5</v>
      </c>
      <c r="N184" s="726">
        <v>24.5</v>
      </c>
      <c r="O184" s="726">
        <v>22.5</v>
      </c>
      <c r="P184" s="728"/>
      <c r="Q184" s="1246">
        <f t="shared" si="52"/>
        <v>24.5</v>
      </c>
      <c r="R184" s="726">
        <v>24.5</v>
      </c>
      <c r="S184" s="726">
        <v>22.5</v>
      </c>
      <c r="T184" s="728"/>
      <c r="U184" s="1246">
        <f t="shared" si="42"/>
        <v>24.5</v>
      </c>
      <c r="V184" s="726">
        <v>24.5</v>
      </c>
      <c r="W184" s="726">
        <v>22.5</v>
      </c>
      <c r="X184" s="71"/>
      <c r="Y184" s="354"/>
    </row>
    <row r="185" spans="1:25" s="1245" customFormat="1" ht="21" customHeight="1" x14ac:dyDescent="0.2">
      <c r="A185" s="2920"/>
      <c r="B185" s="2851"/>
      <c r="C185" s="3803"/>
      <c r="D185" s="3798"/>
      <c r="E185" s="3857" t="s">
        <v>804</v>
      </c>
      <c r="F185" s="2209" t="s">
        <v>1120</v>
      </c>
      <c r="G185" s="3858" t="s">
        <v>1133</v>
      </c>
      <c r="H185" s="2210" t="s">
        <v>509</v>
      </c>
      <c r="I185" s="1238">
        <f t="shared" si="53"/>
        <v>10.1</v>
      </c>
      <c r="J185" s="726">
        <v>10.1</v>
      </c>
      <c r="K185" s="726">
        <v>9.9</v>
      </c>
      <c r="L185" s="728"/>
      <c r="M185" s="1246">
        <f t="shared" si="51"/>
        <v>12.3</v>
      </c>
      <c r="N185" s="726">
        <v>12.3</v>
      </c>
      <c r="O185" s="726">
        <v>12.1</v>
      </c>
      <c r="P185" s="728"/>
      <c r="Q185" s="1246">
        <f t="shared" si="52"/>
        <v>12.3</v>
      </c>
      <c r="R185" s="726">
        <v>12.3</v>
      </c>
      <c r="S185" s="726">
        <v>12.1</v>
      </c>
      <c r="T185" s="728"/>
      <c r="U185" s="1246">
        <f t="shared" si="42"/>
        <v>12.3</v>
      </c>
      <c r="V185" s="726">
        <v>12.3</v>
      </c>
      <c r="W185" s="726">
        <v>12.1</v>
      </c>
      <c r="X185" s="71"/>
      <c r="Y185" s="354"/>
    </row>
    <row r="186" spans="1:25" s="1245" customFormat="1" ht="21" customHeight="1" x14ac:dyDescent="0.2">
      <c r="A186" s="2920"/>
      <c r="B186" s="2851"/>
      <c r="C186" s="3803"/>
      <c r="D186" s="3798"/>
      <c r="E186" s="3857"/>
      <c r="F186" s="2209" t="s">
        <v>1115</v>
      </c>
      <c r="G186" s="3858"/>
      <c r="H186" s="2210" t="s">
        <v>30</v>
      </c>
      <c r="I186" s="1238">
        <f t="shared" si="53"/>
        <v>39.700000000000003</v>
      </c>
      <c r="J186" s="726">
        <v>39.700000000000003</v>
      </c>
      <c r="K186" s="726">
        <v>34.4</v>
      </c>
      <c r="L186" s="728"/>
      <c r="M186" s="1246">
        <f t="shared" si="51"/>
        <v>55.7</v>
      </c>
      <c r="N186" s="726">
        <v>55.7</v>
      </c>
      <c r="O186" s="726">
        <v>48.2</v>
      </c>
      <c r="P186" s="728"/>
      <c r="Q186" s="1246">
        <f t="shared" si="52"/>
        <v>55.7</v>
      </c>
      <c r="R186" s="726">
        <v>55.7</v>
      </c>
      <c r="S186" s="726">
        <v>48.2</v>
      </c>
      <c r="T186" s="728"/>
      <c r="U186" s="1246">
        <f t="shared" si="42"/>
        <v>55.7</v>
      </c>
      <c r="V186" s="726">
        <v>55.7</v>
      </c>
      <c r="W186" s="726">
        <v>48.2</v>
      </c>
      <c r="X186" s="71"/>
      <c r="Y186" s="354"/>
    </row>
    <row r="187" spans="1:25" s="1245" customFormat="1" ht="21" customHeight="1" x14ac:dyDescent="0.2">
      <c r="A187" s="2920"/>
      <c r="B187" s="2851"/>
      <c r="C187" s="3803"/>
      <c r="D187" s="3798"/>
      <c r="E187" s="3857" t="s">
        <v>1134</v>
      </c>
      <c r="F187" s="2209" t="s">
        <v>1120</v>
      </c>
      <c r="G187" s="3858" t="s">
        <v>1135</v>
      </c>
      <c r="H187" s="2210" t="s">
        <v>509</v>
      </c>
      <c r="I187" s="1238">
        <f t="shared" si="53"/>
        <v>5.4</v>
      </c>
      <c r="J187" s="726">
        <v>5.4</v>
      </c>
      <c r="K187" s="726">
        <v>5.3</v>
      </c>
      <c r="L187" s="728"/>
      <c r="M187" s="1246">
        <f t="shared" si="51"/>
        <v>5.9</v>
      </c>
      <c r="N187" s="726">
        <v>5.9</v>
      </c>
      <c r="O187" s="726">
        <v>5.8</v>
      </c>
      <c r="P187" s="728"/>
      <c r="Q187" s="1246">
        <f t="shared" si="52"/>
        <v>5.9</v>
      </c>
      <c r="R187" s="726">
        <v>5.9</v>
      </c>
      <c r="S187" s="726">
        <v>5.8</v>
      </c>
      <c r="T187" s="728"/>
      <c r="U187" s="1246">
        <f t="shared" ref="U187:U192" si="54">SUM(V187+X187)</f>
        <v>5.9</v>
      </c>
      <c r="V187" s="726">
        <v>5.9</v>
      </c>
      <c r="W187" s="726">
        <v>5.8</v>
      </c>
      <c r="X187" s="71"/>
      <c r="Y187" s="354"/>
    </row>
    <row r="188" spans="1:25" s="1245" customFormat="1" ht="21" customHeight="1" x14ac:dyDescent="0.2">
      <c r="A188" s="2920"/>
      <c r="B188" s="2851"/>
      <c r="C188" s="3803"/>
      <c r="D188" s="3798"/>
      <c r="E188" s="3857"/>
      <c r="F188" s="2209" t="s">
        <v>1115</v>
      </c>
      <c r="G188" s="3858"/>
      <c r="H188" s="2210" t="s">
        <v>30</v>
      </c>
      <c r="I188" s="1238">
        <f t="shared" si="53"/>
        <v>18.5</v>
      </c>
      <c r="J188" s="726">
        <v>18.5</v>
      </c>
      <c r="K188" s="726">
        <v>17.2</v>
      </c>
      <c r="L188" s="728"/>
      <c r="M188" s="1246">
        <f t="shared" si="51"/>
        <v>25.3</v>
      </c>
      <c r="N188" s="726">
        <v>25.3</v>
      </c>
      <c r="O188" s="726">
        <v>23.3</v>
      </c>
      <c r="P188" s="728"/>
      <c r="Q188" s="1246">
        <f t="shared" si="52"/>
        <v>25.3</v>
      </c>
      <c r="R188" s="726">
        <v>25.3</v>
      </c>
      <c r="S188" s="726">
        <v>23.3</v>
      </c>
      <c r="T188" s="728"/>
      <c r="U188" s="1246">
        <f t="shared" si="54"/>
        <v>25.3</v>
      </c>
      <c r="V188" s="726">
        <v>25.3</v>
      </c>
      <c r="W188" s="726">
        <v>23.3</v>
      </c>
      <c r="X188" s="71"/>
      <c r="Y188" s="354"/>
    </row>
    <row r="189" spans="1:25" s="1245" customFormat="1" ht="21" customHeight="1" x14ac:dyDescent="0.2">
      <c r="A189" s="2920"/>
      <c r="B189" s="2851"/>
      <c r="C189" s="3803"/>
      <c r="D189" s="3798"/>
      <c r="E189" s="3857" t="s">
        <v>808</v>
      </c>
      <c r="F189" s="2209" t="s">
        <v>1120</v>
      </c>
      <c r="G189" s="3858" t="s">
        <v>1136</v>
      </c>
      <c r="H189" s="2210" t="s">
        <v>509</v>
      </c>
      <c r="I189" s="1238">
        <f t="shared" si="53"/>
        <v>4.9000000000000004</v>
      </c>
      <c r="J189" s="726">
        <v>4.9000000000000004</v>
      </c>
      <c r="K189" s="726">
        <v>4.8</v>
      </c>
      <c r="L189" s="728"/>
      <c r="M189" s="1246">
        <f t="shared" si="51"/>
        <v>5.9</v>
      </c>
      <c r="N189" s="726">
        <v>5.9</v>
      </c>
      <c r="O189" s="726">
        <v>5.8</v>
      </c>
      <c r="P189" s="728"/>
      <c r="Q189" s="1246">
        <f t="shared" si="52"/>
        <v>5.9</v>
      </c>
      <c r="R189" s="726">
        <v>5.9</v>
      </c>
      <c r="S189" s="726">
        <v>5.8</v>
      </c>
      <c r="T189" s="728"/>
      <c r="U189" s="1246">
        <f t="shared" si="54"/>
        <v>5.9</v>
      </c>
      <c r="V189" s="726">
        <v>5.9</v>
      </c>
      <c r="W189" s="726">
        <v>5.8</v>
      </c>
      <c r="X189" s="71"/>
      <c r="Y189" s="354"/>
    </row>
    <row r="190" spans="1:25" s="1245" customFormat="1" ht="21" customHeight="1" x14ac:dyDescent="0.2">
      <c r="A190" s="2920"/>
      <c r="B190" s="2851"/>
      <c r="C190" s="3803"/>
      <c r="D190" s="3798"/>
      <c r="E190" s="3857"/>
      <c r="F190" s="2209" t="s">
        <v>1115</v>
      </c>
      <c r="G190" s="3858"/>
      <c r="H190" s="2210" t="s">
        <v>30</v>
      </c>
      <c r="I190" s="1238">
        <f t="shared" si="53"/>
        <v>15.8</v>
      </c>
      <c r="J190" s="726">
        <v>15.8</v>
      </c>
      <c r="K190" s="726">
        <v>14.6</v>
      </c>
      <c r="L190" s="728"/>
      <c r="M190" s="1246">
        <f t="shared" si="51"/>
        <v>24.5</v>
      </c>
      <c r="N190" s="726">
        <v>24.5</v>
      </c>
      <c r="O190" s="726">
        <v>22.5</v>
      </c>
      <c r="P190" s="728"/>
      <c r="Q190" s="1246">
        <f t="shared" si="52"/>
        <v>24.5</v>
      </c>
      <c r="R190" s="726">
        <v>24.5</v>
      </c>
      <c r="S190" s="726">
        <v>22.5</v>
      </c>
      <c r="T190" s="728"/>
      <c r="U190" s="1246">
        <f t="shared" si="54"/>
        <v>24.5</v>
      </c>
      <c r="V190" s="726">
        <v>24.5</v>
      </c>
      <c r="W190" s="726">
        <v>22.5</v>
      </c>
      <c r="X190" s="71"/>
      <c r="Y190" s="354"/>
    </row>
    <row r="191" spans="1:25" s="1245" customFormat="1" ht="21" customHeight="1" x14ac:dyDescent="0.2">
      <c r="A191" s="2920"/>
      <c r="B191" s="2851"/>
      <c r="C191" s="3803"/>
      <c r="D191" s="3798"/>
      <c r="E191" s="3857" t="s">
        <v>810</v>
      </c>
      <c r="F191" s="2209" t="s">
        <v>1120</v>
      </c>
      <c r="G191" s="3858" t="s">
        <v>1137</v>
      </c>
      <c r="H191" s="2210" t="s">
        <v>509</v>
      </c>
      <c r="I191" s="1238">
        <f t="shared" si="53"/>
        <v>5.0999999999999996</v>
      </c>
      <c r="J191" s="726">
        <v>5.0999999999999996</v>
      </c>
      <c r="K191" s="726">
        <v>5</v>
      </c>
      <c r="L191" s="728"/>
      <c r="M191" s="1246">
        <f t="shared" si="51"/>
        <v>5.9</v>
      </c>
      <c r="N191" s="726">
        <v>5.9</v>
      </c>
      <c r="O191" s="726">
        <v>5.8</v>
      </c>
      <c r="P191" s="728"/>
      <c r="Q191" s="1246">
        <f t="shared" si="52"/>
        <v>5.9</v>
      </c>
      <c r="R191" s="726">
        <v>5.9</v>
      </c>
      <c r="S191" s="726">
        <v>5.8</v>
      </c>
      <c r="T191" s="728"/>
      <c r="U191" s="1246">
        <f t="shared" si="54"/>
        <v>5.9</v>
      </c>
      <c r="V191" s="726">
        <v>5.9</v>
      </c>
      <c r="W191" s="726">
        <v>5.8</v>
      </c>
      <c r="X191" s="71"/>
      <c r="Y191" s="354"/>
    </row>
    <row r="192" spans="1:25" s="1245" customFormat="1" ht="21" customHeight="1" thickBot="1" x14ac:dyDescent="0.25">
      <c r="A192" s="2920"/>
      <c r="B192" s="2851"/>
      <c r="C192" s="3803"/>
      <c r="D192" s="3798"/>
      <c r="E192" s="3857"/>
      <c r="F192" s="2209" t="s">
        <v>1115</v>
      </c>
      <c r="G192" s="3858"/>
      <c r="H192" s="2210" t="s">
        <v>30</v>
      </c>
      <c r="I192" s="1238">
        <f t="shared" si="53"/>
        <v>18.600000000000001</v>
      </c>
      <c r="J192" s="726">
        <v>18.600000000000001</v>
      </c>
      <c r="K192" s="726">
        <v>17.8</v>
      </c>
      <c r="L192" s="728"/>
      <c r="M192" s="1246">
        <f t="shared" si="51"/>
        <v>25.3</v>
      </c>
      <c r="N192" s="726">
        <v>25.3</v>
      </c>
      <c r="O192" s="726">
        <v>23.3</v>
      </c>
      <c r="P192" s="728"/>
      <c r="Q192" s="1246">
        <f t="shared" si="52"/>
        <v>25.3</v>
      </c>
      <c r="R192" s="726">
        <v>25.3</v>
      </c>
      <c r="S192" s="726">
        <v>23.3</v>
      </c>
      <c r="T192" s="728"/>
      <c r="U192" s="2235">
        <f t="shared" si="54"/>
        <v>25.3</v>
      </c>
      <c r="V192" s="726">
        <v>25.3</v>
      </c>
      <c r="W192" s="726">
        <v>23.3</v>
      </c>
      <c r="X192" s="71"/>
      <c r="Y192" s="354"/>
    </row>
    <row r="193" spans="1:25" s="1245" customFormat="1" ht="18" customHeight="1" x14ac:dyDescent="0.2">
      <c r="A193" s="2920"/>
      <c r="B193" s="2851"/>
      <c r="C193" s="3803"/>
      <c r="D193" s="3798"/>
      <c r="E193" s="3859"/>
      <c r="F193" s="3861" t="s">
        <v>1138</v>
      </c>
      <c r="G193" s="3862"/>
      <c r="H193" s="3863"/>
      <c r="I193" s="1235">
        <f t="shared" si="53"/>
        <v>63.6</v>
      </c>
      <c r="J193" s="718">
        <f t="shared" ref="J193:L194" si="55">SUM(J171+J173+J175+J177+J179+J181+J183+J185+J187+J189+J191)</f>
        <v>63.6</v>
      </c>
      <c r="K193" s="718">
        <f t="shared" si="55"/>
        <v>62.29999999999999</v>
      </c>
      <c r="L193" s="720">
        <f t="shared" si="55"/>
        <v>0</v>
      </c>
      <c r="M193" s="1235">
        <f t="shared" ref="M193:M195" si="56">SUM(N193+P193)</f>
        <v>75.100000000000009</v>
      </c>
      <c r="N193" s="718">
        <f t="shared" ref="N193:P194" si="57">SUM(N171+N173+N175+N177+N179+N181+N183+N185+N187+N189+N191)</f>
        <v>75.100000000000009</v>
      </c>
      <c r="O193" s="718">
        <f t="shared" si="57"/>
        <v>73.8</v>
      </c>
      <c r="P193" s="720">
        <f t="shared" si="57"/>
        <v>0</v>
      </c>
      <c r="Q193" s="1301">
        <f t="shared" ref="Q193:Q195" si="58">SUM(R193+T193)</f>
        <v>75.100000000000009</v>
      </c>
      <c r="R193" s="718">
        <f t="shared" ref="R193:T194" si="59">SUM(R171+R173+R175+R177+R179+R181+R183+R185+R187+R189+R191)</f>
        <v>75.100000000000009</v>
      </c>
      <c r="S193" s="718">
        <f t="shared" si="59"/>
        <v>73.8</v>
      </c>
      <c r="T193" s="720">
        <f t="shared" si="59"/>
        <v>0</v>
      </c>
      <c r="U193" s="1301">
        <f t="shared" ref="U193:U195" si="60">SUM(V193+X193)</f>
        <v>75.100000000000009</v>
      </c>
      <c r="V193" s="718">
        <f t="shared" ref="V193:X194" si="61">SUM(V171+V173+V175+V177+V179+V181+V183+V185+V187+V189+V191)</f>
        <v>75.100000000000009</v>
      </c>
      <c r="W193" s="66">
        <f t="shared" si="61"/>
        <v>73.8</v>
      </c>
      <c r="X193" s="56">
        <f t="shared" si="61"/>
        <v>0</v>
      </c>
      <c r="Y193" s="354"/>
    </row>
    <row r="194" spans="1:25" s="1245" customFormat="1" ht="18" customHeight="1" thickBot="1" x14ac:dyDescent="0.25">
      <c r="A194" s="2920"/>
      <c r="B194" s="2851"/>
      <c r="C194" s="3803"/>
      <c r="D194" s="3798"/>
      <c r="E194" s="3859"/>
      <c r="F194" s="3864" t="s">
        <v>1139</v>
      </c>
      <c r="G194" s="3865"/>
      <c r="H194" s="3866"/>
      <c r="I194" s="1240">
        <f t="shared" si="53"/>
        <v>220.20000000000002</v>
      </c>
      <c r="J194" s="1241">
        <f t="shared" si="55"/>
        <v>220.20000000000002</v>
      </c>
      <c r="K194" s="1241">
        <f t="shared" si="55"/>
        <v>205</v>
      </c>
      <c r="L194" s="1242">
        <f t="shared" si="55"/>
        <v>0</v>
      </c>
      <c r="M194" s="1240">
        <f t="shared" si="56"/>
        <v>322.20000000000005</v>
      </c>
      <c r="N194" s="75">
        <f t="shared" si="57"/>
        <v>322.20000000000005</v>
      </c>
      <c r="O194" s="75">
        <f t="shared" si="57"/>
        <v>294.70000000000005</v>
      </c>
      <c r="P194" s="76">
        <f t="shared" si="57"/>
        <v>0</v>
      </c>
      <c r="Q194" s="1302">
        <f t="shared" si="58"/>
        <v>322.20000000000005</v>
      </c>
      <c r="R194" s="75">
        <f t="shared" si="59"/>
        <v>322.20000000000005</v>
      </c>
      <c r="S194" s="75">
        <f t="shared" si="59"/>
        <v>294.70000000000005</v>
      </c>
      <c r="T194" s="76">
        <f t="shared" si="59"/>
        <v>0</v>
      </c>
      <c r="U194" s="1302">
        <f t="shared" si="60"/>
        <v>322.20000000000005</v>
      </c>
      <c r="V194" s="75">
        <f t="shared" si="61"/>
        <v>322.20000000000005</v>
      </c>
      <c r="W194" s="75">
        <f t="shared" si="61"/>
        <v>294.70000000000005</v>
      </c>
      <c r="X194" s="76">
        <f t="shared" si="61"/>
        <v>0</v>
      </c>
      <c r="Y194" s="354"/>
    </row>
    <row r="195" spans="1:25" s="1245" customFormat="1" ht="18" customHeight="1" thickBot="1" x14ac:dyDescent="0.25">
      <c r="A195" s="2917"/>
      <c r="B195" s="2852"/>
      <c r="C195" s="3837"/>
      <c r="D195" s="3799"/>
      <c r="E195" s="3860"/>
      <c r="F195" s="2777" t="s">
        <v>35</v>
      </c>
      <c r="G195" s="2778"/>
      <c r="H195" s="2779"/>
      <c r="I195" s="714">
        <f t="shared" si="53"/>
        <v>283.8</v>
      </c>
      <c r="J195" s="711">
        <f>SUM(J193+J194)</f>
        <v>283.8</v>
      </c>
      <c r="K195" s="711">
        <f t="shared" ref="K195:L195" si="62">SUM(K193+K194)</f>
        <v>267.3</v>
      </c>
      <c r="L195" s="711">
        <f t="shared" si="62"/>
        <v>0</v>
      </c>
      <c r="M195" s="714">
        <f t="shared" si="56"/>
        <v>397.30000000000007</v>
      </c>
      <c r="N195" s="711">
        <f>SUM(N193+N194)</f>
        <v>397.30000000000007</v>
      </c>
      <c r="O195" s="711">
        <f t="shared" ref="O195:P195" si="63">SUM(O193+O194)</f>
        <v>368.50000000000006</v>
      </c>
      <c r="P195" s="711">
        <f t="shared" si="63"/>
        <v>0</v>
      </c>
      <c r="Q195" s="714">
        <f t="shared" si="58"/>
        <v>397.30000000000007</v>
      </c>
      <c r="R195" s="711">
        <f>SUM(R193+R194)</f>
        <v>397.30000000000007</v>
      </c>
      <c r="S195" s="711">
        <f t="shared" ref="S195:T195" si="64">SUM(S193+S194)</f>
        <v>368.50000000000006</v>
      </c>
      <c r="T195" s="711">
        <f t="shared" si="64"/>
        <v>0</v>
      </c>
      <c r="U195" s="714">
        <f t="shared" si="60"/>
        <v>397.30000000000007</v>
      </c>
      <c r="V195" s="711">
        <f>SUM(V193+V194)</f>
        <v>397.30000000000007</v>
      </c>
      <c r="W195" s="711">
        <f t="shared" ref="W195:X195" si="65">SUM(W193+W194)</f>
        <v>368.50000000000006</v>
      </c>
      <c r="X195" s="712">
        <f t="shared" si="65"/>
        <v>0</v>
      </c>
      <c r="Y195" s="354"/>
    </row>
    <row r="196" spans="1:25" s="1245" customFormat="1" ht="21.75" customHeight="1" thickBot="1" x14ac:dyDescent="0.25">
      <c r="A196" s="2844">
        <v>1</v>
      </c>
      <c r="B196" s="2845">
        <v>2</v>
      </c>
      <c r="C196" s="3806">
        <v>14</v>
      </c>
      <c r="D196" s="3829" t="s">
        <v>1140</v>
      </c>
      <c r="E196" s="3820">
        <v>6</v>
      </c>
      <c r="F196" s="2206" t="s">
        <v>1079</v>
      </c>
      <c r="G196" s="2206" t="s">
        <v>1141</v>
      </c>
      <c r="H196" s="2207" t="s">
        <v>33</v>
      </c>
      <c r="I196" s="1262">
        <f t="shared" si="53"/>
        <v>0.4</v>
      </c>
      <c r="J196" s="731">
        <v>0.4</v>
      </c>
      <c r="K196" s="731">
        <v>0.4</v>
      </c>
      <c r="L196" s="730"/>
      <c r="M196" s="1246">
        <f>SUM(N196+P196)</f>
        <v>0.4</v>
      </c>
      <c r="N196" s="726">
        <v>0.4</v>
      </c>
      <c r="O196" s="726">
        <v>0.4</v>
      </c>
      <c r="P196" s="727"/>
      <c r="Q196" s="1246">
        <f>SUM(R196+T196)</f>
        <v>0.4</v>
      </c>
      <c r="R196" s="726">
        <v>0.4</v>
      </c>
      <c r="S196" s="726">
        <v>0.4</v>
      </c>
      <c r="T196" s="728"/>
      <c r="U196" s="1246">
        <f>SUM(V196+X196)</f>
        <v>0.4</v>
      </c>
      <c r="V196" s="726">
        <v>0.4</v>
      </c>
      <c r="W196" s="726">
        <v>0.4</v>
      </c>
      <c r="X196" s="1239"/>
      <c r="Y196" s="354"/>
    </row>
    <row r="197" spans="1:25" s="1245" customFormat="1" ht="21.75" customHeight="1" thickBot="1" x14ac:dyDescent="0.25">
      <c r="A197" s="2844"/>
      <c r="B197" s="2845"/>
      <c r="C197" s="3806"/>
      <c r="D197" s="3829"/>
      <c r="E197" s="3851"/>
      <c r="F197" s="2895" t="s">
        <v>35</v>
      </c>
      <c r="G197" s="2778"/>
      <c r="H197" s="2779"/>
      <c r="I197" s="714">
        <f t="shared" si="53"/>
        <v>0.4</v>
      </c>
      <c r="J197" s="711">
        <f>SUM(J196)</f>
        <v>0.4</v>
      </c>
      <c r="K197" s="711">
        <f>SUM(K196)</f>
        <v>0.4</v>
      </c>
      <c r="L197" s="712">
        <f>SUM(L196)</f>
        <v>0</v>
      </c>
      <c r="M197" s="714">
        <f>SUM(N197+P197)</f>
        <v>0.4</v>
      </c>
      <c r="N197" s="711">
        <f>SUM(N196)</f>
        <v>0.4</v>
      </c>
      <c r="O197" s="711">
        <f>SUM(O196)</f>
        <v>0.4</v>
      </c>
      <c r="P197" s="712">
        <f>SUM(P196)</f>
        <v>0</v>
      </c>
      <c r="Q197" s="714">
        <f>SUM(R197+T197)</f>
        <v>0.4</v>
      </c>
      <c r="R197" s="711">
        <f>SUM(R196)</f>
        <v>0.4</v>
      </c>
      <c r="S197" s="711">
        <f>SUM(S196)</f>
        <v>0.4</v>
      </c>
      <c r="T197" s="712">
        <f>SUM(T196)</f>
        <v>0</v>
      </c>
      <c r="U197" s="714">
        <f>SUM(V197+X197)</f>
        <v>0.4</v>
      </c>
      <c r="V197" s="711">
        <f>SUM(V196)</f>
        <v>0.4</v>
      </c>
      <c r="W197" s="711">
        <f>SUM(W196)</f>
        <v>0.4</v>
      </c>
      <c r="X197" s="662">
        <f>SUM(X196)</f>
        <v>0</v>
      </c>
      <c r="Y197" s="354"/>
    </row>
    <row r="198" spans="1:25" s="1245" customFormat="1" ht="18.75" hidden="1" customHeight="1" x14ac:dyDescent="0.2">
      <c r="A198" s="2844">
        <v>1</v>
      </c>
      <c r="B198" s="2845">
        <v>2</v>
      </c>
      <c r="C198" s="3806">
        <v>15</v>
      </c>
      <c r="D198" s="2612" t="s">
        <v>1142</v>
      </c>
      <c r="E198" s="2209">
        <v>6</v>
      </c>
      <c r="F198" s="2115" t="s">
        <v>993</v>
      </c>
      <c r="G198" s="2085" t="s">
        <v>1143</v>
      </c>
      <c r="H198" s="1303" t="s">
        <v>33</v>
      </c>
      <c r="I198" s="739">
        <f t="shared" si="53"/>
        <v>0</v>
      </c>
      <c r="J198" s="726"/>
      <c r="K198" s="726"/>
      <c r="L198" s="708"/>
      <c r="M198" s="1271">
        <f>SUM(N198)</f>
        <v>0</v>
      </c>
      <c r="N198" s="726"/>
      <c r="O198" s="726"/>
      <c r="P198" s="708"/>
      <c r="Q198" s="1271">
        <f>SUM(R198)</f>
        <v>0</v>
      </c>
      <c r="R198" s="726"/>
      <c r="S198" s="726"/>
      <c r="T198" s="708"/>
      <c r="U198" s="1304">
        <f>SUM(V198)</f>
        <v>0</v>
      </c>
      <c r="V198" s="718"/>
      <c r="W198" s="718"/>
      <c r="X198" s="720"/>
      <c r="Y198" s="354"/>
    </row>
    <row r="199" spans="1:25" s="1245" customFormat="1" ht="18.75" customHeight="1" x14ac:dyDescent="0.2">
      <c r="A199" s="2844"/>
      <c r="B199" s="2845"/>
      <c r="C199" s="3806"/>
      <c r="D199" s="2613"/>
      <c r="E199" s="1305" t="s">
        <v>794</v>
      </c>
      <c r="F199" s="2510" t="s">
        <v>993</v>
      </c>
      <c r="G199" s="2086" t="s">
        <v>1144</v>
      </c>
      <c r="H199" s="753" t="s">
        <v>33</v>
      </c>
      <c r="I199" s="1238">
        <f t="shared" si="53"/>
        <v>0.4</v>
      </c>
      <c r="J199" s="726">
        <v>0.4</v>
      </c>
      <c r="K199" s="726">
        <v>0.4</v>
      </c>
      <c r="L199" s="728"/>
      <c r="M199" s="1238">
        <f t="shared" ref="M199:M210" si="66">SUM(N199)</f>
        <v>0.3</v>
      </c>
      <c r="N199" s="726">
        <v>0.3</v>
      </c>
      <c r="O199" s="726">
        <v>0.3</v>
      </c>
      <c r="P199" s="728"/>
      <c r="Q199" s="1238">
        <f t="shared" ref="Q199:Q210" si="67">SUM(R199)</f>
        <v>0.3</v>
      </c>
      <c r="R199" s="726">
        <v>0.3</v>
      </c>
      <c r="S199" s="726">
        <v>0.3</v>
      </c>
      <c r="T199" s="728"/>
      <c r="U199" s="1238">
        <f t="shared" ref="U199:U210" si="68">SUM(V199)</f>
        <v>0.3</v>
      </c>
      <c r="V199" s="726">
        <v>0.3</v>
      </c>
      <c r="W199" s="726">
        <v>0.3</v>
      </c>
      <c r="X199" s="727"/>
      <c r="Y199" s="354"/>
    </row>
    <row r="200" spans="1:25" s="1245" customFormat="1" ht="18.75" customHeight="1" x14ac:dyDescent="0.2">
      <c r="A200" s="2844"/>
      <c r="B200" s="2845"/>
      <c r="C200" s="3806"/>
      <c r="D200" s="2613"/>
      <c r="E200" s="1305" t="s">
        <v>1123</v>
      </c>
      <c r="F200" s="2513"/>
      <c r="G200" s="2086" t="s">
        <v>1145</v>
      </c>
      <c r="H200" s="753" t="s">
        <v>33</v>
      </c>
      <c r="I200" s="1238">
        <f t="shared" si="53"/>
        <v>1.5</v>
      </c>
      <c r="J200" s="726">
        <v>1.5</v>
      </c>
      <c r="K200" s="726">
        <v>1.5</v>
      </c>
      <c r="L200" s="728"/>
      <c r="M200" s="1238">
        <f t="shared" si="66"/>
        <v>1.2</v>
      </c>
      <c r="N200" s="726">
        <v>1.2</v>
      </c>
      <c r="O200" s="726">
        <v>1.2</v>
      </c>
      <c r="P200" s="728"/>
      <c r="Q200" s="1238">
        <f t="shared" si="67"/>
        <v>1.2</v>
      </c>
      <c r="R200" s="726">
        <v>1.2</v>
      </c>
      <c r="S200" s="726">
        <v>1.2</v>
      </c>
      <c r="T200" s="728"/>
      <c r="U200" s="1238">
        <f t="shared" si="68"/>
        <v>1.2</v>
      </c>
      <c r="V200" s="726">
        <v>1.2</v>
      </c>
      <c r="W200" s="726">
        <v>1.2</v>
      </c>
      <c r="X200" s="727"/>
      <c r="Y200" s="354"/>
    </row>
    <row r="201" spans="1:25" s="1245" customFormat="1" ht="18.75" customHeight="1" x14ac:dyDescent="0.2">
      <c r="A201" s="2844"/>
      <c r="B201" s="2845"/>
      <c r="C201" s="3806"/>
      <c r="D201" s="2613"/>
      <c r="E201" s="1290" t="s">
        <v>796</v>
      </c>
      <c r="F201" s="2513"/>
      <c r="G201" s="2086" t="s">
        <v>1146</v>
      </c>
      <c r="H201" s="753" t="s">
        <v>33</v>
      </c>
      <c r="I201" s="1238">
        <f t="shared" si="53"/>
        <v>0.4</v>
      </c>
      <c r="J201" s="726">
        <v>0.4</v>
      </c>
      <c r="K201" s="726">
        <v>0.4</v>
      </c>
      <c r="L201" s="728"/>
      <c r="M201" s="1238">
        <f t="shared" si="66"/>
        <v>0.3</v>
      </c>
      <c r="N201" s="726">
        <v>0.3</v>
      </c>
      <c r="O201" s="726">
        <v>0.3</v>
      </c>
      <c r="P201" s="728"/>
      <c r="Q201" s="1238">
        <f t="shared" si="67"/>
        <v>0.3</v>
      </c>
      <c r="R201" s="726">
        <v>0.3</v>
      </c>
      <c r="S201" s="726">
        <v>0.3</v>
      </c>
      <c r="T201" s="728"/>
      <c r="U201" s="1238">
        <f t="shared" si="68"/>
        <v>0.3</v>
      </c>
      <c r="V201" s="726">
        <v>0.3</v>
      </c>
      <c r="W201" s="726">
        <v>0.3</v>
      </c>
      <c r="X201" s="727"/>
      <c r="Y201" s="354"/>
    </row>
    <row r="202" spans="1:25" s="1245" customFormat="1" ht="18.75" customHeight="1" x14ac:dyDescent="0.2">
      <c r="A202" s="2844"/>
      <c r="B202" s="2845"/>
      <c r="C202" s="3806"/>
      <c r="D202" s="2613"/>
      <c r="E202" s="1290" t="s">
        <v>798</v>
      </c>
      <c r="F202" s="2513"/>
      <c r="G202" s="2086" t="s">
        <v>1147</v>
      </c>
      <c r="H202" s="753" t="s">
        <v>30</v>
      </c>
      <c r="I202" s="1238">
        <f t="shared" si="53"/>
        <v>14.6</v>
      </c>
      <c r="J202" s="726">
        <v>14.6</v>
      </c>
      <c r="K202" s="726">
        <v>14.2</v>
      </c>
      <c r="L202" s="728"/>
      <c r="M202" s="1238">
        <f t="shared" si="66"/>
        <v>21.7</v>
      </c>
      <c r="N202" s="726">
        <v>21.7</v>
      </c>
      <c r="O202" s="726">
        <v>21</v>
      </c>
      <c r="P202" s="728"/>
      <c r="Q202" s="1238">
        <f t="shared" si="67"/>
        <v>21.7</v>
      </c>
      <c r="R202" s="726">
        <v>21.7</v>
      </c>
      <c r="S202" s="726">
        <v>21</v>
      </c>
      <c r="T202" s="728"/>
      <c r="U202" s="1238">
        <f t="shared" si="68"/>
        <v>21.7</v>
      </c>
      <c r="V202" s="726">
        <v>21.7</v>
      </c>
      <c r="W202" s="726">
        <v>21</v>
      </c>
      <c r="X202" s="727"/>
      <c r="Y202" s="354"/>
    </row>
    <row r="203" spans="1:25" s="1245" customFormat="1" ht="18.75" hidden="1" customHeight="1" x14ac:dyDescent="0.2">
      <c r="A203" s="2844"/>
      <c r="B203" s="2845"/>
      <c r="C203" s="3806"/>
      <c r="D203" s="2613"/>
      <c r="E203" s="1290" t="s">
        <v>798</v>
      </c>
      <c r="F203" s="2513"/>
      <c r="G203" s="2086" t="s">
        <v>1147</v>
      </c>
      <c r="H203" s="753" t="s">
        <v>33</v>
      </c>
      <c r="I203" s="1238">
        <f t="shared" si="53"/>
        <v>0</v>
      </c>
      <c r="J203" s="726"/>
      <c r="K203" s="726"/>
      <c r="L203" s="728"/>
      <c r="M203" s="1238"/>
      <c r="N203" s="726"/>
      <c r="O203" s="726"/>
      <c r="P203" s="728"/>
      <c r="Q203" s="1238"/>
      <c r="R203" s="726"/>
      <c r="S203" s="726"/>
      <c r="T203" s="728"/>
      <c r="U203" s="1238"/>
      <c r="V203" s="726"/>
      <c r="W203" s="726"/>
      <c r="X203" s="727"/>
      <c r="Y203" s="354"/>
    </row>
    <row r="204" spans="1:25" s="1245" customFormat="1" ht="18.75" customHeight="1" x14ac:dyDescent="0.2">
      <c r="A204" s="2844"/>
      <c r="B204" s="2845"/>
      <c r="C204" s="3806"/>
      <c r="D204" s="2613"/>
      <c r="E204" s="1305" t="s">
        <v>1129</v>
      </c>
      <c r="F204" s="2513"/>
      <c r="G204" s="2086" t="s">
        <v>1148</v>
      </c>
      <c r="H204" s="753" t="s">
        <v>33</v>
      </c>
      <c r="I204" s="1238">
        <f t="shared" si="53"/>
        <v>0.3</v>
      </c>
      <c r="J204" s="726">
        <v>0.3</v>
      </c>
      <c r="K204" s="726">
        <v>0.3</v>
      </c>
      <c r="L204" s="728"/>
      <c r="M204" s="1238">
        <f t="shared" si="66"/>
        <v>0.2</v>
      </c>
      <c r="N204" s="726">
        <v>0.2</v>
      </c>
      <c r="O204" s="726">
        <v>0.2</v>
      </c>
      <c r="P204" s="728"/>
      <c r="Q204" s="1238">
        <f t="shared" si="67"/>
        <v>0.2</v>
      </c>
      <c r="R204" s="726">
        <v>0.2</v>
      </c>
      <c r="S204" s="726">
        <v>0.2</v>
      </c>
      <c r="T204" s="728"/>
      <c r="U204" s="1238">
        <f t="shared" si="68"/>
        <v>0.2</v>
      </c>
      <c r="V204" s="726">
        <v>0.2</v>
      </c>
      <c r="W204" s="726">
        <v>0.2</v>
      </c>
      <c r="X204" s="727"/>
      <c r="Y204" s="354"/>
    </row>
    <row r="205" spans="1:25" s="1245" customFormat="1" ht="18.75" customHeight="1" x14ac:dyDescent="0.2">
      <c r="A205" s="2844"/>
      <c r="B205" s="2845"/>
      <c r="C205" s="3806"/>
      <c r="D205" s="2613"/>
      <c r="E205" s="1290" t="s">
        <v>1131</v>
      </c>
      <c r="F205" s="2513"/>
      <c r="G205" s="2086" t="s">
        <v>1149</v>
      </c>
      <c r="H205" s="753" t="s">
        <v>33</v>
      </c>
      <c r="I205" s="1238">
        <f t="shared" si="53"/>
        <v>1.5</v>
      </c>
      <c r="J205" s="726">
        <v>1.5</v>
      </c>
      <c r="K205" s="726">
        <v>1.5</v>
      </c>
      <c r="L205" s="728"/>
      <c r="M205" s="1238">
        <f t="shared" si="66"/>
        <v>1.3</v>
      </c>
      <c r="N205" s="726">
        <v>1.3</v>
      </c>
      <c r="O205" s="726">
        <v>1.3</v>
      </c>
      <c r="P205" s="728"/>
      <c r="Q205" s="1238">
        <f t="shared" si="67"/>
        <v>1.3</v>
      </c>
      <c r="R205" s="726">
        <v>1.3</v>
      </c>
      <c r="S205" s="726">
        <v>1.3</v>
      </c>
      <c r="T205" s="728"/>
      <c r="U205" s="1238">
        <f t="shared" si="68"/>
        <v>1.3</v>
      </c>
      <c r="V205" s="726">
        <v>1.3</v>
      </c>
      <c r="W205" s="726">
        <v>1.3</v>
      </c>
      <c r="X205" s="727"/>
      <c r="Y205" s="354"/>
    </row>
    <row r="206" spans="1:25" s="1245" customFormat="1" ht="18.75" customHeight="1" x14ac:dyDescent="0.2">
      <c r="A206" s="2844"/>
      <c r="B206" s="2845"/>
      <c r="C206" s="3806"/>
      <c r="D206" s="2613"/>
      <c r="E206" s="1290" t="s">
        <v>804</v>
      </c>
      <c r="F206" s="2513"/>
      <c r="G206" s="2086" t="s">
        <v>1150</v>
      </c>
      <c r="H206" s="753" t="s">
        <v>30</v>
      </c>
      <c r="I206" s="1238">
        <f t="shared" si="53"/>
        <v>7.6</v>
      </c>
      <c r="J206" s="726">
        <v>7.6</v>
      </c>
      <c r="K206" s="726">
        <v>7.5</v>
      </c>
      <c r="L206" s="728"/>
      <c r="M206" s="1238">
        <f t="shared" si="66"/>
        <v>10.9</v>
      </c>
      <c r="N206" s="726">
        <v>10.9</v>
      </c>
      <c r="O206" s="726">
        <v>10.5</v>
      </c>
      <c r="P206" s="728"/>
      <c r="Q206" s="1238">
        <f t="shared" si="67"/>
        <v>10.9</v>
      </c>
      <c r="R206" s="726">
        <v>10.9</v>
      </c>
      <c r="S206" s="726">
        <v>10.5</v>
      </c>
      <c r="T206" s="728"/>
      <c r="U206" s="1238">
        <f t="shared" si="68"/>
        <v>10.9</v>
      </c>
      <c r="V206" s="726">
        <v>10.9</v>
      </c>
      <c r="W206" s="726">
        <v>10.5</v>
      </c>
      <c r="X206" s="727"/>
      <c r="Y206" s="354"/>
    </row>
    <row r="207" spans="1:25" s="1245" customFormat="1" ht="18.75" hidden="1" customHeight="1" x14ac:dyDescent="0.2">
      <c r="A207" s="2844"/>
      <c r="B207" s="2845"/>
      <c r="C207" s="3806"/>
      <c r="D207" s="2613"/>
      <c r="E207" s="1290" t="s">
        <v>804</v>
      </c>
      <c r="F207" s="2513"/>
      <c r="G207" s="2086" t="s">
        <v>1150</v>
      </c>
      <c r="H207" s="753" t="s">
        <v>33</v>
      </c>
      <c r="I207" s="1238">
        <f t="shared" si="53"/>
        <v>0</v>
      </c>
      <c r="J207" s="726"/>
      <c r="K207" s="726"/>
      <c r="L207" s="728"/>
      <c r="M207" s="1238">
        <f t="shared" si="66"/>
        <v>0</v>
      </c>
      <c r="N207" s="726"/>
      <c r="O207" s="726"/>
      <c r="P207" s="728"/>
      <c r="Q207" s="1238">
        <f t="shared" si="67"/>
        <v>0</v>
      </c>
      <c r="R207" s="726"/>
      <c r="S207" s="726"/>
      <c r="T207" s="728"/>
      <c r="U207" s="1238">
        <f t="shared" si="68"/>
        <v>0</v>
      </c>
      <c r="V207" s="726"/>
      <c r="W207" s="726"/>
      <c r="X207" s="727"/>
      <c r="Y207" s="354"/>
    </row>
    <row r="208" spans="1:25" s="1245" customFormat="1" ht="18.75" customHeight="1" x14ac:dyDescent="0.2">
      <c r="A208" s="2920">
        <v>1</v>
      </c>
      <c r="B208" s="2851">
        <v>2</v>
      </c>
      <c r="C208" s="3803">
        <v>15</v>
      </c>
      <c r="D208" s="2613"/>
      <c r="E208" s="1306" t="s">
        <v>1134</v>
      </c>
      <c r="F208" s="2513"/>
      <c r="G208" s="2086" t="s">
        <v>1151</v>
      </c>
      <c r="H208" s="753" t="s">
        <v>33</v>
      </c>
      <c r="I208" s="1238">
        <f t="shared" si="53"/>
        <v>4.5</v>
      </c>
      <c r="J208" s="726">
        <v>4.5</v>
      </c>
      <c r="K208" s="726">
        <v>4.4000000000000004</v>
      </c>
      <c r="L208" s="728"/>
      <c r="M208" s="1238">
        <f t="shared" si="66"/>
        <v>3.6</v>
      </c>
      <c r="N208" s="726">
        <v>3.6</v>
      </c>
      <c r="O208" s="726">
        <v>3.5</v>
      </c>
      <c r="P208" s="728"/>
      <c r="Q208" s="1238">
        <f t="shared" si="67"/>
        <v>3.6</v>
      </c>
      <c r="R208" s="726">
        <v>3.6</v>
      </c>
      <c r="S208" s="726">
        <v>3.5</v>
      </c>
      <c r="T208" s="728"/>
      <c r="U208" s="1238">
        <f t="shared" si="68"/>
        <v>3.6</v>
      </c>
      <c r="V208" s="726">
        <v>3.6</v>
      </c>
      <c r="W208" s="726">
        <v>3.5</v>
      </c>
      <c r="X208" s="727"/>
      <c r="Y208" s="354"/>
    </row>
    <row r="209" spans="1:25" s="1245" customFormat="1" ht="18.75" customHeight="1" x14ac:dyDescent="0.2">
      <c r="A209" s="2920"/>
      <c r="B209" s="2851"/>
      <c r="C209" s="3803"/>
      <c r="D209" s="2613"/>
      <c r="E209" s="1307" t="s">
        <v>808</v>
      </c>
      <c r="F209" s="2513"/>
      <c r="G209" s="2086" t="s">
        <v>1152</v>
      </c>
      <c r="H209" s="753" t="s">
        <v>33</v>
      </c>
      <c r="I209" s="1238">
        <f t="shared" si="53"/>
        <v>0.6</v>
      </c>
      <c r="J209" s="726">
        <v>0.6</v>
      </c>
      <c r="K209" s="726">
        <v>0.6</v>
      </c>
      <c r="L209" s="728"/>
      <c r="M209" s="1238">
        <f t="shared" si="66"/>
        <v>0.5</v>
      </c>
      <c r="N209" s="726">
        <v>0.5</v>
      </c>
      <c r="O209" s="726">
        <v>0.5</v>
      </c>
      <c r="P209" s="728"/>
      <c r="Q209" s="1238">
        <f t="shared" si="67"/>
        <v>0.5</v>
      </c>
      <c r="R209" s="726">
        <v>0.5</v>
      </c>
      <c r="S209" s="726">
        <v>0.5</v>
      </c>
      <c r="T209" s="728"/>
      <c r="U209" s="1238">
        <f t="shared" si="68"/>
        <v>0.5</v>
      </c>
      <c r="V209" s="726">
        <v>0.5</v>
      </c>
      <c r="W209" s="726">
        <v>0.5</v>
      </c>
      <c r="X209" s="727"/>
      <c r="Y209" s="354"/>
    </row>
    <row r="210" spans="1:25" s="1245" customFormat="1" ht="18.75" customHeight="1" thickBot="1" x14ac:dyDescent="0.25">
      <c r="A210" s="2920"/>
      <c r="B210" s="2851"/>
      <c r="C210" s="3803"/>
      <c r="D210" s="2613"/>
      <c r="E210" s="1290" t="s">
        <v>810</v>
      </c>
      <c r="F210" s="2502"/>
      <c r="G210" s="2087" t="s">
        <v>1153</v>
      </c>
      <c r="H210" s="1308" t="s">
        <v>33</v>
      </c>
      <c r="I210" s="1292">
        <f t="shared" si="53"/>
        <v>1.7</v>
      </c>
      <c r="J210" s="734">
        <v>1.7</v>
      </c>
      <c r="K210" s="734">
        <v>1.7</v>
      </c>
      <c r="L210" s="736"/>
      <c r="M210" s="1292">
        <f t="shared" si="66"/>
        <v>1.5</v>
      </c>
      <c r="N210" s="734">
        <v>1.5</v>
      </c>
      <c r="O210" s="734">
        <v>1.5</v>
      </c>
      <c r="P210" s="736"/>
      <c r="Q210" s="1292">
        <f t="shared" si="67"/>
        <v>1.5</v>
      </c>
      <c r="R210" s="734">
        <v>1.5</v>
      </c>
      <c r="S210" s="734">
        <v>1.5</v>
      </c>
      <c r="T210" s="736"/>
      <c r="U210" s="1240">
        <f t="shared" si="68"/>
        <v>1.5</v>
      </c>
      <c r="V210" s="1241">
        <v>1.5</v>
      </c>
      <c r="W210" s="1241">
        <v>1.5</v>
      </c>
      <c r="X210" s="1242"/>
      <c r="Y210" s="354"/>
    </row>
    <row r="211" spans="1:25" s="1245" customFormat="1" ht="18.75" customHeight="1" x14ac:dyDescent="0.2">
      <c r="A211" s="2920"/>
      <c r="B211" s="2851"/>
      <c r="C211" s="3803"/>
      <c r="D211" s="2613"/>
      <c r="E211" s="2603"/>
      <c r="F211" s="3861" t="s">
        <v>1154</v>
      </c>
      <c r="G211" s="3862"/>
      <c r="H211" s="3863"/>
      <c r="I211" s="1301">
        <f t="shared" si="53"/>
        <v>22.2</v>
      </c>
      <c r="J211" s="718">
        <f>SUM(J202+J206)</f>
        <v>22.2</v>
      </c>
      <c r="K211" s="718">
        <f t="shared" ref="K211:L211" si="69">SUM(K202+K206)</f>
        <v>21.7</v>
      </c>
      <c r="L211" s="718">
        <f t="shared" si="69"/>
        <v>0</v>
      </c>
      <c r="M211" s="1235">
        <f>SUM(N211+P211)</f>
        <v>32.6</v>
      </c>
      <c r="N211" s="718">
        <f>SUM(N202+N206)</f>
        <v>32.6</v>
      </c>
      <c r="O211" s="718">
        <f t="shared" ref="O211:P211" si="70">SUM(O202+O206)</f>
        <v>31.5</v>
      </c>
      <c r="P211" s="717">
        <f t="shared" si="70"/>
        <v>0</v>
      </c>
      <c r="Q211" s="1235">
        <f>SUM(R211+T211)</f>
        <v>32.6</v>
      </c>
      <c r="R211" s="66">
        <f>SUM(R202+R206)</f>
        <v>32.6</v>
      </c>
      <c r="S211" s="66">
        <f t="shared" ref="S211:T211" si="71">SUM(S202+S206)</f>
        <v>31.5</v>
      </c>
      <c r="T211" s="66">
        <f t="shared" si="71"/>
        <v>0</v>
      </c>
      <c r="U211" s="1235">
        <f>SUM(V211+X211)</f>
        <v>32.6</v>
      </c>
      <c r="V211" s="66">
        <f>SUM(V202+V206)</f>
        <v>32.6</v>
      </c>
      <c r="W211" s="66">
        <f t="shared" ref="W211:X211" si="72">SUM(W202+W206)</f>
        <v>31.5</v>
      </c>
      <c r="X211" s="56">
        <f t="shared" si="72"/>
        <v>0</v>
      </c>
      <c r="Y211" s="354"/>
    </row>
    <row r="212" spans="1:25" s="1245" customFormat="1" ht="18.75" customHeight="1" thickBot="1" x14ac:dyDescent="0.25">
      <c r="A212" s="2920"/>
      <c r="B212" s="2851"/>
      <c r="C212" s="3803"/>
      <c r="D212" s="2613"/>
      <c r="E212" s="2603"/>
      <c r="F212" s="3867" t="s">
        <v>1155</v>
      </c>
      <c r="G212" s="3868"/>
      <c r="H212" s="3869"/>
      <c r="I212" s="1302">
        <f t="shared" si="53"/>
        <v>10.899999999999999</v>
      </c>
      <c r="J212" s="1241">
        <f>SUM(J198+J199+J200+J201+J204+J205+J208+J209+J210+J207+J203)</f>
        <v>10.899999999999999</v>
      </c>
      <c r="K212" s="1241">
        <f>SUM(K198+K199+K200+K201+K204+K205+K208+K209+K210+K207+K203)</f>
        <v>10.799999999999999</v>
      </c>
      <c r="L212" s="1242">
        <f>SUM(L198+L199+L200+L201+L204+L205+L208+L209+L210)</f>
        <v>0</v>
      </c>
      <c r="M212" s="2235">
        <f>SUM(N212+P212)</f>
        <v>8.9</v>
      </c>
      <c r="N212" s="1241">
        <f>SUM(N198+N199+N200+N201+N204+N205+N208+N209+N210+N207)</f>
        <v>8.9</v>
      </c>
      <c r="O212" s="1241">
        <f>SUM(O198+O199+O200+O201+O204+O205+O208+O209+O210+O207)</f>
        <v>8.8000000000000007</v>
      </c>
      <c r="P212" s="1242">
        <f>SUM(P198+P199+P200+P201+P204+P205+P208+P209+P210)</f>
        <v>0</v>
      </c>
      <c r="Q212" s="1309">
        <f>SUM(R212+T212)</f>
        <v>8.9</v>
      </c>
      <c r="R212" s="75">
        <f>SUM(R198+R199+R200+R201+R204+R205+R208+R209+R210+R207)</f>
        <v>8.9</v>
      </c>
      <c r="S212" s="75">
        <f>SUM(S198+S199+S200+S201+S204+S205+S208+S209+S210+S207)</f>
        <v>8.8000000000000007</v>
      </c>
      <c r="T212" s="76">
        <f>SUM(T198+T199+T200+T201+T204+T205+T208+T209+T210)</f>
        <v>0</v>
      </c>
      <c r="U212" s="2235">
        <f>SUM(V212+X212)</f>
        <v>8.9</v>
      </c>
      <c r="V212" s="75">
        <f>SUM(V198+V199+V200+V201+V204+V205+V208+V209+V210+V207)</f>
        <v>8.9</v>
      </c>
      <c r="W212" s="75">
        <f>SUM(W198+W199+W200+W201+W204+W205+W208+W209+W210+W207)</f>
        <v>8.8000000000000007</v>
      </c>
      <c r="X212" s="76">
        <f>SUM(X198+X199+X200+X201+X204+X205+X208+X209+X210)</f>
        <v>0</v>
      </c>
      <c r="Y212" s="354"/>
    </row>
    <row r="213" spans="1:25" s="1245" customFormat="1" ht="18.75" customHeight="1" thickBot="1" x14ac:dyDescent="0.25">
      <c r="A213" s="2917"/>
      <c r="B213" s="2852"/>
      <c r="C213" s="3837"/>
      <c r="D213" s="2614"/>
      <c r="E213" s="2603"/>
      <c r="F213" s="2777" t="s">
        <v>35</v>
      </c>
      <c r="G213" s="2778"/>
      <c r="H213" s="2779"/>
      <c r="I213" s="776">
        <f>SUM(J213+L213)</f>
        <v>33.099999999999994</v>
      </c>
      <c r="J213" s="711">
        <f>SUM(J211+J212)</f>
        <v>33.099999999999994</v>
      </c>
      <c r="K213" s="711">
        <f>SUM(K211+K212)</f>
        <v>32.5</v>
      </c>
      <c r="L213" s="712">
        <f>SUM(L211+L212)</f>
        <v>0</v>
      </c>
      <c r="M213" s="714">
        <f>SUM(N213+P213)</f>
        <v>41.5</v>
      </c>
      <c r="N213" s="711">
        <f>SUM(N211+N212)</f>
        <v>41.5</v>
      </c>
      <c r="O213" s="711">
        <f>SUM(O211+O212)</f>
        <v>40.299999999999997</v>
      </c>
      <c r="P213" s="712">
        <f>SUM(P211+P212)</f>
        <v>0</v>
      </c>
      <c r="Q213" s="714">
        <f>SUM(R213+T213)</f>
        <v>41.5</v>
      </c>
      <c r="R213" s="711">
        <f>SUM(R211+R212)</f>
        <v>41.5</v>
      </c>
      <c r="S213" s="711">
        <f>SUM(S211+S212)</f>
        <v>40.299999999999997</v>
      </c>
      <c r="T213" s="712">
        <f>SUM(T211+T212)</f>
        <v>0</v>
      </c>
      <c r="U213" s="714">
        <f>SUM(V213+X213)</f>
        <v>41.5</v>
      </c>
      <c r="V213" s="711">
        <f>SUM(V211+V212)</f>
        <v>41.5</v>
      </c>
      <c r="W213" s="711">
        <f>SUM(W211+W212)</f>
        <v>40.299999999999997</v>
      </c>
      <c r="X213" s="662">
        <f>SUM(X211+X212)</f>
        <v>0</v>
      </c>
      <c r="Y213" s="354"/>
    </row>
    <row r="214" spans="1:25" s="1245" customFormat="1" ht="21" customHeight="1" thickBot="1" x14ac:dyDescent="0.25">
      <c r="A214" s="2916">
        <v>1</v>
      </c>
      <c r="B214" s="2850">
        <v>2</v>
      </c>
      <c r="C214" s="3845">
        <v>16</v>
      </c>
      <c r="D214" s="3797" t="s">
        <v>1156</v>
      </c>
      <c r="E214" s="2511">
        <v>2</v>
      </c>
      <c r="F214" s="1310" t="s">
        <v>1157</v>
      </c>
      <c r="G214" s="2130" t="s">
        <v>1158</v>
      </c>
      <c r="H214" s="2131" t="s">
        <v>33</v>
      </c>
      <c r="I214" s="1267">
        <f t="shared" ref="I214:I221" si="73">SUM(J214)</f>
        <v>94.2</v>
      </c>
      <c r="J214" s="709">
        <v>94.2</v>
      </c>
      <c r="K214" s="709">
        <v>87.8</v>
      </c>
      <c r="L214" s="88"/>
      <c r="M214" s="1267">
        <f>SUM(N214+P214)</f>
        <v>81</v>
      </c>
      <c r="N214" s="2056">
        <v>81</v>
      </c>
      <c r="O214" s="709">
        <v>75</v>
      </c>
      <c r="P214" s="88"/>
      <c r="Q214" s="1267">
        <f>SUM(R214+T214)</f>
        <v>81.099999999999994</v>
      </c>
      <c r="R214" s="709">
        <v>81.099999999999994</v>
      </c>
      <c r="S214" s="709">
        <v>75</v>
      </c>
      <c r="T214" s="88"/>
      <c r="U214" s="1267">
        <f>SUM(V214+X214)</f>
        <v>81.099999999999994</v>
      </c>
      <c r="V214" s="709">
        <v>81.099999999999994</v>
      </c>
      <c r="W214" s="709">
        <v>75</v>
      </c>
      <c r="X214" s="61"/>
      <c r="Y214" s="354"/>
    </row>
    <row r="215" spans="1:25" s="1245" customFormat="1" ht="21" customHeight="1" thickBot="1" x14ac:dyDescent="0.25">
      <c r="A215" s="2917"/>
      <c r="B215" s="2852"/>
      <c r="C215" s="3837"/>
      <c r="D215" s="3799"/>
      <c r="E215" s="2523"/>
      <c r="F215" s="2777" t="s">
        <v>35</v>
      </c>
      <c r="G215" s="2778"/>
      <c r="H215" s="2779"/>
      <c r="I215" s="714">
        <f t="shared" si="73"/>
        <v>94.2</v>
      </c>
      <c r="J215" s="711">
        <f>SUM(J214)</f>
        <v>94.2</v>
      </c>
      <c r="K215" s="711">
        <f>SUM(K214)</f>
        <v>87.8</v>
      </c>
      <c r="L215" s="712"/>
      <c r="M215" s="714">
        <f>SUM(P215,N215)</f>
        <v>81</v>
      </c>
      <c r="N215" s="711">
        <f>N214</f>
        <v>81</v>
      </c>
      <c r="O215" s="711">
        <f>O214</f>
        <v>75</v>
      </c>
      <c r="P215" s="712"/>
      <c r="Q215" s="714">
        <f>SUM(R215)</f>
        <v>81.099999999999994</v>
      </c>
      <c r="R215" s="711">
        <f>SUM(R214)</f>
        <v>81.099999999999994</v>
      </c>
      <c r="S215" s="711">
        <f>SUM(S214)</f>
        <v>75</v>
      </c>
      <c r="T215" s="712"/>
      <c r="U215" s="714">
        <f>SUM(V215)</f>
        <v>81.099999999999994</v>
      </c>
      <c r="V215" s="711">
        <f>SUM(V214)</f>
        <v>81.099999999999994</v>
      </c>
      <c r="W215" s="711">
        <f>SUM(W214)</f>
        <v>75</v>
      </c>
      <c r="X215" s="662"/>
      <c r="Y215" s="354"/>
    </row>
    <row r="216" spans="1:25" s="1245" customFormat="1" ht="21.75" customHeight="1" thickBot="1" x14ac:dyDescent="0.25">
      <c r="A216" s="2916">
        <v>1</v>
      </c>
      <c r="B216" s="2850">
        <v>2</v>
      </c>
      <c r="C216" s="3845">
        <v>17</v>
      </c>
      <c r="D216" s="3797" t="s">
        <v>1159</v>
      </c>
      <c r="E216" s="2511">
        <v>17</v>
      </c>
      <c r="F216" s="1311" t="s">
        <v>991</v>
      </c>
      <c r="G216" s="2128" t="s">
        <v>1160</v>
      </c>
      <c r="H216" s="775" t="s">
        <v>33</v>
      </c>
      <c r="I216" s="1267">
        <f t="shared" si="73"/>
        <v>9.1999999999999993</v>
      </c>
      <c r="J216" s="709">
        <v>9.1999999999999993</v>
      </c>
      <c r="K216" s="709">
        <v>9.1</v>
      </c>
      <c r="L216" s="88"/>
      <c r="M216" s="1267">
        <f>N216</f>
        <v>21</v>
      </c>
      <c r="N216" s="709">
        <v>21</v>
      </c>
      <c r="O216" s="709">
        <v>20.7</v>
      </c>
      <c r="P216" s="88"/>
      <c r="Q216" s="1267">
        <f>SUM(R216)</f>
        <v>21</v>
      </c>
      <c r="R216" s="709">
        <v>21</v>
      </c>
      <c r="S216" s="709">
        <v>20.7</v>
      </c>
      <c r="T216" s="88"/>
      <c r="U216" s="1267">
        <f>SUM(V216)</f>
        <v>21</v>
      </c>
      <c r="V216" s="709">
        <v>21</v>
      </c>
      <c r="W216" s="709">
        <v>20.7</v>
      </c>
      <c r="X216" s="61"/>
      <c r="Y216" s="354"/>
    </row>
    <row r="217" spans="1:25" s="1245" customFormat="1" ht="21.75" customHeight="1" thickBot="1" x14ac:dyDescent="0.25">
      <c r="A217" s="2917"/>
      <c r="B217" s="2852"/>
      <c r="C217" s="3837"/>
      <c r="D217" s="3799"/>
      <c r="E217" s="2523"/>
      <c r="F217" s="2777"/>
      <c r="G217" s="2778"/>
      <c r="H217" s="2779"/>
      <c r="I217" s="714">
        <f t="shared" si="73"/>
        <v>9.1999999999999993</v>
      </c>
      <c r="J217" s="711">
        <f>SUM(J216)</f>
        <v>9.1999999999999993</v>
      </c>
      <c r="K217" s="711">
        <f t="shared" ref="K217:L217" si="74">SUM(K216)</f>
        <v>9.1</v>
      </c>
      <c r="L217" s="711">
        <f t="shared" si="74"/>
        <v>0</v>
      </c>
      <c r="M217" s="714">
        <f>SUM(P217,N217)</f>
        <v>21</v>
      </c>
      <c r="N217" s="711">
        <f>N216</f>
        <v>21</v>
      </c>
      <c r="O217" s="711">
        <f>O216</f>
        <v>20.7</v>
      </c>
      <c r="P217" s="712"/>
      <c r="Q217" s="714">
        <f>SUM(R217)</f>
        <v>21</v>
      </c>
      <c r="R217" s="711">
        <f>SUM(R216)</f>
        <v>21</v>
      </c>
      <c r="S217" s="711">
        <f>SUM(S216)</f>
        <v>20.7</v>
      </c>
      <c r="T217" s="712"/>
      <c r="U217" s="714">
        <f>SUM(V217)</f>
        <v>21</v>
      </c>
      <c r="V217" s="711">
        <f>SUM(V216)</f>
        <v>21</v>
      </c>
      <c r="W217" s="711">
        <f>SUM(W216)</f>
        <v>20.7</v>
      </c>
      <c r="X217" s="662"/>
      <c r="Y217" s="354"/>
    </row>
    <row r="218" spans="1:25" s="1245" customFormat="1" ht="21.75" customHeight="1" thickBot="1" x14ac:dyDescent="0.25">
      <c r="A218" s="2916">
        <v>1</v>
      </c>
      <c r="B218" s="2850">
        <v>2</v>
      </c>
      <c r="C218" s="3845">
        <v>18</v>
      </c>
      <c r="D218" s="2503" t="s">
        <v>576</v>
      </c>
      <c r="E218" s="2511">
        <v>7</v>
      </c>
      <c r="F218" s="1311" t="s">
        <v>1118</v>
      </c>
      <c r="G218" s="2128" t="s">
        <v>1161</v>
      </c>
      <c r="H218" s="775" t="s">
        <v>33</v>
      </c>
      <c r="I218" s="1267">
        <f t="shared" si="73"/>
        <v>25.2</v>
      </c>
      <c r="J218" s="60">
        <f>15+10.2</f>
        <v>25.2</v>
      </c>
      <c r="K218" s="60">
        <v>22.3</v>
      </c>
      <c r="L218" s="88"/>
      <c r="M218" s="1267">
        <f>N218</f>
        <v>0.5</v>
      </c>
      <c r="N218" s="709">
        <v>0.5</v>
      </c>
      <c r="O218" s="709">
        <v>0.5</v>
      </c>
      <c r="P218" s="88"/>
      <c r="Q218" s="1267">
        <f>SUM(R218)</f>
        <v>0.5</v>
      </c>
      <c r="R218" s="60">
        <v>0.5</v>
      </c>
      <c r="S218" s="60">
        <v>0.5</v>
      </c>
      <c r="T218" s="61"/>
      <c r="U218" s="1267">
        <f>SUM(V218)</f>
        <v>0.5</v>
      </c>
      <c r="V218" s="60">
        <v>0.5</v>
      </c>
      <c r="W218" s="60">
        <v>0.5</v>
      </c>
      <c r="X218" s="61"/>
      <c r="Y218" s="354"/>
    </row>
    <row r="219" spans="1:25" s="1245" customFormat="1" ht="27.75" customHeight="1" thickBot="1" x14ac:dyDescent="0.25">
      <c r="A219" s="2917"/>
      <c r="B219" s="2852"/>
      <c r="C219" s="3837"/>
      <c r="D219" s="2505"/>
      <c r="E219" s="2523"/>
      <c r="F219" s="2777"/>
      <c r="G219" s="2778"/>
      <c r="H219" s="2779"/>
      <c r="I219" s="714">
        <f t="shared" si="73"/>
        <v>25.2</v>
      </c>
      <c r="J219" s="711">
        <f>SUM(J218)</f>
        <v>25.2</v>
      </c>
      <c r="K219" s="711">
        <f t="shared" ref="K219:L219" si="75">SUM(K218)</f>
        <v>22.3</v>
      </c>
      <c r="L219" s="711">
        <f t="shared" si="75"/>
        <v>0</v>
      </c>
      <c r="M219" s="714">
        <f>SUM(P219,N219)</f>
        <v>0.5</v>
      </c>
      <c r="N219" s="711">
        <f>N218</f>
        <v>0.5</v>
      </c>
      <c r="O219" s="711">
        <f>O218</f>
        <v>0.5</v>
      </c>
      <c r="P219" s="712"/>
      <c r="Q219" s="714">
        <f>SUM(R219)</f>
        <v>0.5</v>
      </c>
      <c r="R219" s="711">
        <f>SUM(R218)</f>
        <v>0.5</v>
      </c>
      <c r="S219" s="711">
        <f>SUM(S218)</f>
        <v>0.5</v>
      </c>
      <c r="T219" s="712"/>
      <c r="U219" s="714">
        <f>SUM(V219)</f>
        <v>0.5</v>
      </c>
      <c r="V219" s="711">
        <f>SUM(V218)</f>
        <v>0.5</v>
      </c>
      <c r="W219" s="711">
        <f>SUM(W218)</f>
        <v>0.5</v>
      </c>
      <c r="X219" s="662"/>
      <c r="Y219" s="354"/>
    </row>
    <row r="220" spans="1:25" s="1245" customFormat="1" ht="27.75" customHeight="1" thickBot="1" x14ac:dyDescent="0.25">
      <c r="A220" s="2916">
        <v>1</v>
      </c>
      <c r="B220" s="2850">
        <v>2</v>
      </c>
      <c r="C220" s="3845">
        <v>19</v>
      </c>
      <c r="D220" s="2495" t="s">
        <v>1349</v>
      </c>
      <c r="E220" s="2511">
        <v>7</v>
      </c>
      <c r="F220" s="1311" t="s">
        <v>580</v>
      </c>
      <c r="G220" s="2366" t="s">
        <v>1350</v>
      </c>
      <c r="H220" s="775" t="s">
        <v>33</v>
      </c>
      <c r="I220" s="1267">
        <f t="shared" si="73"/>
        <v>0</v>
      </c>
      <c r="J220" s="60"/>
      <c r="K220" s="60"/>
      <c r="L220" s="88"/>
      <c r="M220" s="1267">
        <f>N220</f>
        <v>3.2</v>
      </c>
      <c r="N220" s="2056">
        <v>3.2</v>
      </c>
      <c r="O220" s="2056">
        <v>3.1</v>
      </c>
      <c r="P220" s="88"/>
      <c r="Q220" s="1267">
        <f t="shared" ref="Q220:Q221" si="76">SUM(R220)</f>
        <v>3.2</v>
      </c>
      <c r="R220" s="60">
        <v>3.2</v>
      </c>
      <c r="S220" s="60">
        <v>3.1</v>
      </c>
      <c r="T220" s="61"/>
      <c r="U220" s="1267">
        <f t="shared" ref="U220:U221" si="77">SUM(V220)</f>
        <v>3.2</v>
      </c>
      <c r="V220" s="60">
        <v>3.2</v>
      </c>
      <c r="W220" s="60">
        <v>3.1</v>
      </c>
      <c r="X220" s="61"/>
      <c r="Y220" s="354"/>
    </row>
    <row r="221" spans="1:25" s="1245" customFormat="1" ht="27.75" customHeight="1" thickBot="1" x14ac:dyDescent="0.25">
      <c r="A221" s="2917"/>
      <c r="B221" s="2852"/>
      <c r="C221" s="3837"/>
      <c r="D221" s="2497"/>
      <c r="E221" s="2523"/>
      <c r="F221" s="2777"/>
      <c r="G221" s="2778"/>
      <c r="H221" s="2779"/>
      <c r="I221" s="714">
        <f t="shared" si="73"/>
        <v>0</v>
      </c>
      <c r="J221" s="711">
        <f>SUM(J220)</f>
        <v>0</v>
      </c>
      <c r="K221" s="711">
        <f t="shared" ref="K221:L221" si="78">SUM(K220)</f>
        <v>0</v>
      </c>
      <c r="L221" s="711">
        <f t="shared" si="78"/>
        <v>0</v>
      </c>
      <c r="M221" s="714">
        <f>SUM(P221,N221)</f>
        <v>3.2</v>
      </c>
      <c r="N221" s="711">
        <f>N220</f>
        <v>3.2</v>
      </c>
      <c r="O221" s="711">
        <f>O220</f>
        <v>3.1</v>
      </c>
      <c r="P221" s="712"/>
      <c r="Q221" s="714">
        <f t="shared" si="76"/>
        <v>3.2</v>
      </c>
      <c r="R221" s="711">
        <f>SUM(R220)</f>
        <v>3.2</v>
      </c>
      <c r="S221" s="711">
        <f>SUM(S220)</f>
        <v>3.1</v>
      </c>
      <c r="T221" s="712"/>
      <c r="U221" s="714">
        <f t="shared" si="77"/>
        <v>3.2</v>
      </c>
      <c r="V221" s="711">
        <f>SUM(V220)</f>
        <v>3.2</v>
      </c>
      <c r="W221" s="711">
        <f>SUM(W220)</f>
        <v>3.1</v>
      </c>
      <c r="X221" s="662"/>
      <c r="Y221" s="354"/>
    </row>
    <row r="222" spans="1:25" s="1245" customFormat="1" ht="16.5" customHeight="1" thickBot="1" x14ac:dyDescent="0.25">
      <c r="A222" s="2368">
        <v>1</v>
      </c>
      <c r="B222" s="2367">
        <v>2</v>
      </c>
      <c r="C222" s="3870" t="s">
        <v>234</v>
      </c>
      <c r="D222" s="3871"/>
      <c r="E222" s="3871"/>
      <c r="F222" s="3871"/>
      <c r="G222" s="3871"/>
      <c r="H222" s="3872"/>
      <c r="I222" s="1312">
        <f>SUM(J222+L222)</f>
        <v>2264.6999999999998</v>
      </c>
      <c r="J222" s="1313">
        <f>SUM(J124+J127+J130+J133+J136+J138+J140+J143+J146+J158+J162+J170+J195+J197+J213+J215+J217+J219)</f>
        <v>2227.3999999999996</v>
      </c>
      <c r="K222" s="1313">
        <f t="shared" ref="K222:L222" si="79">SUM(K124+K127+K130+K133+K136+K138+K140+K143+K146+K158+K162+K170+K195+K197+K213+K215+K217+K219)</f>
        <v>2057</v>
      </c>
      <c r="L222" s="1323">
        <f t="shared" si="79"/>
        <v>37.299999999999997</v>
      </c>
      <c r="M222" s="1312">
        <f>SUM(N222+P222)</f>
        <v>2631.6</v>
      </c>
      <c r="N222" s="1313">
        <f>SUM(N124+N127+N130+N133+N136+N138+N140+N143+N146+N158+N162+N170+N195+N197+N213+N215+N217+N219+N221)</f>
        <v>2595.6</v>
      </c>
      <c r="O222" s="1313">
        <f>SUM(O124+O127+O130+O133+O136+O138+O140+O143+O146+O158+O162+O170+O195+O197+O213+O215+O217+O219+O221)</f>
        <v>2417.5</v>
      </c>
      <c r="P222" s="1324">
        <f>SUM(P124+P127+P130+P133+P136+P138+P140+P143+P146+P158+P162+P170+P195+P197+P213+P215+P217)</f>
        <v>36</v>
      </c>
      <c r="Q222" s="1312">
        <f>SUM(R222+T222)</f>
        <v>2580.7999999999997</v>
      </c>
      <c r="R222" s="1313">
        <f>SUM(R124+R127+R130+R133+R136+R138+R140+R143+R146+R158+R162+R170+R195+R197+R213+R215+R217+R219+R221)</f>
        <v>2580.7999999999997</v>
      </c>
      <c r="S222" s="1313">
        <f>SUM(S124+S127+S130+S133+S136+S138+S140+S143+S146+S158+S162+S170+S195+S197+S213+S215+S217+S219+S221)</f>
        <v>2359.5</v>
      </c>
      <c r="T222" s="1313">
        <f>SUM(T124+T127+T130+T133+T136+T138+T140+T143+T146+T158+T162+T170+T195+T197+T213+T215+T217)</f>
        <v>0</v>
      </c>
      <c r="U222" s="1314">
        <f>SUM(V222+X222)</f>
        <v>2580.7999999999997</v>
      </c>
      <c r="V222" s="1313">
        <f>SUM(V124+V127+V130+V133+V136+V138+V140+V143+V146+V158+V162+V170+V195+V197+V213+V215+V217+V219+V221)</f>
        <v>2580.7999999999997</v>
      </c>
      <c r="W222" s="1313">
        <f>SUM(W124+W127+W130+W133+W136+W138+W140+W143+W146+W158+W162+W170+W195+W197+W213+W215+W217+W219+W221)</f>
        <v>2359.5</v>
      </c>
      <c r="X222" s="1324">
        <f>SUM(X124+X127+X130+X133+X136+X138+X140+X143+X146+X158+X162+X170+X195+X197+X213+X215+X217)</f>
        <v>0</v>
      </c>
      <c r="Y222" s="354"/>
    </row>
    <row r="223" spans="1:25" s="1245" customFormat="1" ht="20.25" customHeight="1" thickBot="1" x14ac:dyDescent="0.25">
      <c r="A223" s="2129">
        <v>1</v>
      </c>
      <c r="B223" s="2140">
        <v>3</v>
      </c>
      <c r="C223" s="2590" t="s">
        <v>1162</v>
      </c>
      <c r="D223" s="2591"/>
      <c r="E223" s="2591"/>
      <c r="F223" s="2591"/>
      <c r="G223" s="2591"/>
      <c r="H223" s="2591"/>
      <c r="I223" s="2553"/>
      <c r="J223" s="2553"/>
      <c r="K223" s="2553"/>
      <c r="L223" s="2553"/>
      <c r="M223" s="2553"/>
      <c r="N223" s="2553"/>
      <c r="O223" s="2553"/>
      <c r="P223" s="2553"/>
      <c r="Q223" s="2553"/>
      <c r="R223" s="2553"/>
      <c r="S223" s="2553"/>
      <c r="T223" s="2553"/>
      <c r="U223" s="2553"/>
      <c r="V223" s="2553"/>
      <c r="W223" s="2553"/>
      <c r="X223" s="2554"/>
      <c r="Y223" s="354"/>
    </row>
    <row r="224" spans="1:25" ht="22.5" customHeight="1" thickBot="1" x14ac:dyDescent="0.25">
      <c r="A224" s="2844">
        <v>1</v>
      </c>
      <c r="B224" s="2845">
        <v>3</v>
      </c>
      <c r="C224" s="2807">
        <v>1</v>
      </c>
      <c r="D224" s="3873" t="s">
        <v>1163</v>
      </c>
      <c r="E224" s="3874">
        <v>10</v>
      </c>
      <c r="F224" s="2102" t="s">
        <v>987</v>
      </c>
      <c r="G224" s="2102" t="s">
        <v>1164</v>
      </c>
      <c r="H224" s="1315" t="s">
        <v>30</v>
      </c>
      <c r="I224" s="1238">
        <f>SUM(J224)</f>
        <v>18</v>
      </c>
      <c r="J224" s="726">
        <v>18</v>
      </c>
      <c r="K224" s="726"/>
      <c r="L224" s="728"/>
      <c r="M224" s="1246">
        <f>SUM(N224)</f>
        <v>42</v>
      </c>
      <c r="N224" s="726">
        <v>42</v>
      </c>
      <c r="O224" s="726"/>
      <c r="P224" s="727"/>
      <c r="Q224" s="1246">
        <f>SUM(R224+T224)</f>
        <v>42</v>
      </c>
      <c r="R224" s="726">
        <v>42</v>
      </c>
      <c r="S224" s="726"/>
      <c r="T224" s="728"/>
      <c r="U224" s="1246">
        <f>SUM(V224+X224)</f>
        <v>42</v>
      </c>
      <c r="V224" s="70">
        <v>42</v>
      </c>
      <c r="W224" s="1260"/>
      <c r="X224" s="1239"/>
      <c r="Y224" s="354"/>
    </row>
    <row r="225" spans="1:25" s="1245" customFormat="1" ht="27.75" customHeight="1" thickBot="1" x14ac:dyDescent="0.25">
      <c r="A225" s="2844"/>
      <c r="B225" s="2845"/>
      <c r="C225" s="2807"/>
      <c r="D225" s="2725"/>
      <c r="E225" s="3874"/>
      <c r="F225" s="3788" t="s">
        <v>35</v>
      </c>
      <c r="G225" s="3789"/>
      <c r="H225" s="3790"/>
      <c r="I225" s="663">
        <f>SUM(J225+L225)</f>
        <v>18</v>
      </c>
      <c r="J225" s="664">
        <f>SUM(J224)</f>
        <v>18</v>
      </c>
      <c r="K225" s="664">
        <f>SUM(K224)</f>
        <v>0</v>
      </c>
      <c r="L225" s="662">
        <f>SUM(L224)</f>
        <v>0</v>
      </c>
      <c r="M225" s="714">
        <f>SUM(N225+P225)</f>
        <v>42</v>
      </c>
      <c r="N225" s="664">
        <f>SUM(N224)</f>
        <v>42</v>
      </c>
      <c r="O225" s="664">
        <f>SUM(O224)</f>
        <v>0</v>
      </c>
      <c r="P225" s="662">
        <f>SUM(P224)</f>
        <v>0</v>
      </c>
      <c r="Q225" s="663">
        <f>SUM(R225+T225)</f>
        <v>42</v>
      </c>
      <c r="R225" s="664">
        <f>SUM(R224)</f>
        <v>42</v>
      </c>
      <c r="S225" s="664">
        <f>SUM(S224)</f>
        <v>0</v>
      </c>
      <c r="T225" s="662">
        <f>SUM(T224)</f>
        <v>0</v>
      </c>
      <c r="U225" s="663">
        <f>SUM(V225+X225)</f>
        <v>42</v>
      </c>
      <c r="V225" s="664">
        <f>SUM(V224)</f>
        <v>42</v>
      </c>
      <c r="W225" s="664">
        <f>SUM(W224)</f>
        <v>0</v>
      </c>
      <c r="X225" s="662">
        <f>SUM(X224)</f>
        <v>0</v>
      </c>
      <c r="Y225" s="354"/>
    </row>
    <row r="226" spans="1:25" s="1245" customFormat="1" ht="18.75" customHeight="1" thickBot="1" x14ac:dyDescent="0.25">
      <c r="A226" s="2132">
        <v>1</v>
      </c>
      <c r="B226" s="2136">
        <v>3</v>
      </c>
      <c r="C226" s="3870" t="s">
        <v>234</v>
      </c>
      <c r="D226" s="3871"/>
      <c r="E226" s="3871"/>
      <c r="F226" s="3871"/>
      <c r="G226" s="3871"/>
      <c r="H226" s="3872"/>
      <c r="I226" s="1316">
        <f>SUM(J226+L226)</f>
        <v>18</v>
      </c>
      <c r="J226" s="1317">
        <f>J225</f>
        <v>18</v>
      </c>
      <c r="K226" s="1317">
        <f t="shared" ref="K226:L226" si="80">K225</f>
        <v>0</v>
      </c>
      <c r="L226" s="1317">
        <f t="shared" si="80"/>
        <v>0</v>
      </c>
      <c r="M226" s="1316">
        <f>SUM(N226+P226)</f>
        <v>42</v>
      </c>
      <c r="N226" s="1317">
        <f>N225</f>
        <v>42</v>
      </c>
      <c r="O226" s="1317">
        <f t="shared" ref="O226:P226" si="81">O225</f>
        <v>0</v>
      </c>
      <c r="P226" s="1317">
        <f t="shared" si="81"/>
        <v>0</v>
      </c>
      <c r="Q226" s="1316">
        <f>SUM(R226+T226)</f>
        <v>42</v>
      </c>
      <c r="R226" s="1317">
        <f>R225</f>
        <v>42</v>
      </c>
      <c r="S226" s="1318">
        <f>S225</f>
        <v>0</v>
      </c>
      <c r="T226" s="1319">
        <f>T225</f>
        <v>0</v>
      </c>
      <c r="U226" s="1316">
        <f>SUM(V226+X226)</f>
        <v>42</v>
      </c>
      <c r="V226" s="1317">
        <f>V225</f>
        <v>42</v>
      </c>
      <c r="W226" s="1318">
        <f>W225</f>
        <v>0</v>
      </c>
      <c r="X226" s="1319">
        <f>X225</f>
        <v>0</v>
      </c>
      <c r="Y226" s="354"/>
    </row>
    <row r="227" spans="1:25" s="1245" customFormat="1" ht="18" customHeight="1" thickBot="1" x14ac:dyDescent="0.25">
      <c r="A227" s="2129">
        <v>1</v>
      </c>
      <c r="B227" s="2140">
        <v>4</v>
      </c>
      <c r="C227" s="2552" t="s">
        <v>1165</v>
      </c>
      <c r="D227" s="2553"/>
      <c r="E227" s="2553"/>
      <c r="F227" s="2553"/>
      <c r="G227" s="2553"/>
      <c r="H227" s="2553"/>
      <c r="I227" s="2553"/>
      <c r="J227" s="2553"/>
      <c r="K227" s="2553"/>
      <c r="L227" s="2553"/>
      <c r="M227" s="2553"/>
      <c r="N227" s="2553"/>
      <c r="O227" s="2553"/>
      <c r="P227" s="2553"/>
      <c r="Q227" s="2553"/>
      <c r="R227" s="2553"/>
      <c r="S227" s="2553"/>
      <c r="T227" s="2553"/>
      <c r="U227" s="2553"/>
      <c r="V227" s="2553"/>
      <c r="W227" s="2553"/>
      <c r="X227" s="2554"/>
      <c r="Y227" s="354"/>
    </row>
    <row r="228" spans="1:25" s="1245" customFormat="1" ht="21" customHeight="1" x14ac:dyDescent="0.2">
      <c r="A228" s="2844">
        <v>1</v>
      </c>
      <c r="B228" s="2845">
        <v>4</v>
      </c>
      <c r="C228" s="2806">
        <v>1</v>
      </c>
      <c r="D228" s="2504" t="s">
        <v>1166</v>
      </c>
      <c r="E228" s="3831">
        <v>4</v>
      </c>
      <c r="F228" s="2531" t="s">
        <v>1167</v>
      </c>
      <c r="G228" s="2531" t="s">
        <v>1168</v>
      </c>
      <c r="H228" s="1303" t="s">
        <v>30</v>
      </c>
      <c r="I228" s="1246">
        <f>SUM(J228)</f>
        <v>82.6</v>
      </c>
      <c r="J228" s="706">
        <v>82.6</v>
      </c>
      <c r="K228" s="706"/>
      <c r="L228" s="708"/>
      <c r="M228" s="1246">
        <f t="shared" ref="M228:M235" si="82">SUM(N228+P228)</f>
        <v>6</v>
      </c>
      <c r="N228" s="706">
        <v>6</v>
      </c>
      <c r="O228" s="706"/>
      <c r="P228" s="707"/>
      <c r="Q228" s="1289">
        <f>SUM(R228)</f>
        <v>88</v>
      </c>
      <c r="R228" s="706">
        <v>88</v>
      </c>
      <c r="S228" s="706"/>
      <c r="T228" s="708"/>
      <c r="U228" s="1246">
        <f>SUM(V228)</f>
        <v>88</v>
      </c>
      <c r="V228" s="747">
        <v>88</v>
      </c>
      <c r="W228" s="1263"/>
      <c r="X228" s="1264"/>
      <c r="Y228" s="354"/>
    </row>
    <row r="229" spans="1:25" s="1245" customFormat="1" ht="21" customHeight="1" thickBot="1" x14ac:dyDescent="0.25">
      <c r="A229" s="2844"/>
      <c r="B229" s="2845"/>
      <c r="C229" s="2807"/>
      <c r="D229" s="2504"/>
      <c r="E229" s="3874"/>
      <c r="F229" s="2510"/>
      <c r="G229" s="2510"/>
      <c r="H229" s="691" t="s">
        <v>32</v>
      </c>
      <c r="I229" s="1246">
        <f>SUM(J229)</f>
        <v>0</v>
      </c>
      <c r="J229" s="659"/>
      <c r="K229" s="659"/>
      <c r="L229" s="655"/>
      <c r="M229" s="1246">
        <f t="shared" si="82"/>
        <v>75</v>
      </c>
      <c r="N229" s="659">
        <v>75</v>
      </c>
      <c r="O229" s="659"/>
      <c r="P229" s="657"/>
      <c r="Q229" s="1289">
        <f>SUM(R229)</f>
        <v>0</v>
      </c>
      <c r="R229" s="659"/>
      <c r="S229" s="659"/>
      <c r="T229" s="655"/>
      <c r="U229" s="1246">
        <f>SUM(V229)</f>
        <v>0</v>
      </c>
      <c r="V229" s="659"/>
      <c r="W229" s="1320"/>
      <c r="X229" s="1272"/>
      <c r="Y229" s="354"/>
    </row>
    <row r="230" spans="1:25" s="1245" customFormat="1" ht="21" customHeight="1" thickBot="1" x14ac:dyDescent="0.25">
      <c r="A230" s="2844"/>
      <c r="B230" s="2845"/>
      <c r="C230" s="2807"/>
      <c r="D230" s="2505"/>
      <c r="E230" s="3874"/>
      <c r="F230" s="2810" t="s">
        <v>35</v>
      </c>
      <c r="G230" s="2811"/>
      <c r="H230" s="2812"/>
      <c r="I230" s="663">
        <f t="shared" ref="I230:I235" si="83">SUM(J230+L230)</f>
        <v>82.6</v>
      </c>
      <c r="J230" s="664">
        <f>SUM(J228:J229)</f>
        <v>82.6</v>
      </c>
      <c r="K230" s="664">
        <f>SUM(K228)</f>
        <v>0</v>
      </c>
      <c r="L230" s="662">
        <f>SUM(L228)</f>
        <v>0</v>
      </c>
      <c r="M230" s="663">
        <f t="shared" si="82"/>
        <v>81</v>
      </c>
      <c r="N230" s="664">
        <f>SUM(N228+N229)</f>
        <v>81</v>
      </c>
      <c r="O230" s="664">
        <f>SUM(O228+O229)</f>
        <v>0</v>
      </c>
      <c r="P230" s="664">
        <f>SUM(P228+P229)</f>
        <v>0</v>
      </c>
      <c r="Q230" s="663">
        <f t="shared" ref="Q230:Q236" si="84">SUM(R230+T230)</f>
        <v>88</v>
      </c>
      <c r="R230" s="664">
        <f>SUM(R228)</f>
        <v>88</v>
      </c>
      <c r="S230" s="664">
        <f>SUM(S228)</f>
        <v>0</v>
      </c>
      <c r="T230" s="662">
        <f>SUM(T228)</f>
        <v>0</v>
      </c>
      <c r="U230" s="663">
        <f t="shared" ref="U230:U236" si="85">SUM(V230+X230)</f>
        <v>88</v>
      </c>
      <c r="V230" s="664">
        <f>SUM(V228)</f>
        <v>88</v>
      </c>
      <c r="W230" s="664">
        <f>SUM(W228)</f>
        <v>0</v>
      </c>
      <c r="X230" s="662">
        <f>SUM(X228)</f>
        <v>0</v>
      </c>
      <c r="Y230" s="354"/>
    </row>
    <row r="231" spans="1:25" s="1245" customFormat="1" ht="21" customHeight="1" x14ac:dyDescent="0.2">
      <c r="A231" s="2844">
        <v>1</v>
      </c>
      <c r="B231" s="2845">
        <v>4</v>
      </c>
      <c r="C231" s="2807">
        <v>2</v>
      </c>
      <c r="D231" s="2465" t="s">
        <v>1169</v>
      </c>
      <c r="E231" s="2846">
        <v>4</v>
      </c>
      <c r="F231" s="3884" t="s">
        <v>1170</v>
      </c>
      <c r="G231" s="3858" t="s">
        <v>1171</v>
      </c>
      <c r="H231" s="2210" t="s">
        <v>30</v>
      </c>
      <c r="I231" s="1238">
        <f t="shared" si="83"/>
        <v>281.89999999999998</v>
      </c>
      <c r="J231" s="726"/>
      <c r="K231" s="726"/>
      <c r="L231" s="728">
        <v>281.89999999999998</v>
      </c>
      <c r="M231" s="1238">
        <f t="shared" si="82"/>
        <v>0</v>
      </c>
      <c r="N231" s="726"/>
      <c r="O231" s="726"/>
      <c r="P231" s="727"/>
      <c r="Q231" s="1268">
        <f t="shared" si="84"/>
        <v>1135.0999999999999</v>
      </c>
      <c r="R231" s="726"/>
      <c r="S231" s="726"/>
      <c r="T231" s="728">
        <v>1135.0999999999999</v>
      </c>
      <c r="U231" s="1238">
        <f t="shared" si="85"/>
        <v>1135.0999999999999</v>
      </c>
      <c r="V231" s="70"/>
      <c r="W231" s="1260"/>
      <c r="X231" s="1239">
        <v>1135.0999999999999</v>
      </c>
      <c r="Y231" s="354"/>
    </row>
    <row r="232" spans="1:25" s="1245" customFormat="1" ht="21" customHeight="1" x14ac:dyDescent="0.2">
      <c r="A232" s="2844"/>
      <c r="B232" s="2845"/>
      <c r="C232" s="2807"/>
      <c r="D232" s="2465"/>
      <c r="E232" s="2846"/>
      <c r="F232" s="3885"/>
      <c r="G232" s="2612"/>
      <c r="H232" s="2222" t="s">
        <v>116</v>
      </c>
      <c r="I232" s="1238">
        <f t="shared" si="83"/>
        <v>845.6</v>
      </c>
      <c r="J232" s="726"/>
      <c r="K232" s="726"/>
      <c r="L232" s="728">
        <v>845.6</v>
      </c>
      <c r="M232" s="1238">
        <f t="shared" si="82"/>
        <v>0</v>
      </c>
      <c r="N232" s="726"/>
      <c r="O232" s="726"/>
      <c r="P232" s="727"/>
      <c r="Q232" s="1268">
        <f>SUM(R232+T232)</f>
        <v>0</v>
      </c>
      <c r="R232" s="726"/>
      <c r="S232" s="726"/>
      <c r="T232" s="728"/>
      <c r="U232" s="1238">
        <f>SUM(V232+X232)</f>
        <v>0</v>
      </c>
      <c r="V232" s="70"/>
      <c r="W232" s="1260"/>
      <c r="X232" s="1239"/>
      <c r="Y232" s="354"/>
    </row>
    <row r="233" spans="1:25" s="1245" customFormat="1" ht="21" customHeight="1" thickBot="1" x14ac:dyDescent="0.25">
      <c r="A233" s="2844"/>
      <c r="B233" s="2845"/>
      <c r="C233" s="2807"/>
      <c r="D233" s="2465"/>
      <c r="E233" s="2846"/>
      <c r="F233" s="3886"/>
      <c r="G233" s="3875"/>
      <c r="H233" s="2207" t="s">
        <v>32</v>
      </c>
      <c r="I233" s="1238">
        <f t="shared" si="83"/>
        <v>0</v>
      </c>
      <c r="J233" s="726"/>
      <c r="K233" s="726"/>
      <c r="L233" s="728"/>
      <c r="M233" s="1238">
        <f t="shared" si="82"/>
        <v>1297.9000000000001</v>
      </c>
      <c r="N233" s="70"/>
      <c r="O233" s="70"/>
      <c r="P233" s="727">
        <v>1297.9000000000001</v>
      </c>
      <c r="Q233" s="1268">
        <f>SUM(R233+T233)</f>
        <v>0</v>
      </c>
      <c r="R233" s="70"/>
      <c r="S233" s="70"/>
      <c r="T233" s="687"/>
      <c r="U233" s="1238">
        <f>SUM(V233+X233)</f>
        <v>0</v>
      </c>
      <c r="V233" s="70"/>
      <c r="W233" s="1260"/>
      <c r="X233" s="1239"/>
      <c r="Y233" s="354"/>
    </row>
    <row r="234" spans="1:25" s="1245" customFormat="1" ht="21" customHeight="1" thickBot="1" x14ac:dyDescent="0.25">
      <c r="A234" s="2844"/>
      <c r="B234" s="2845"/>
      <c r="C234" s="2807"/>
      <c r="D234" s="2465"/>
      <c r="E234" s="3874"/>
      <c r="F234" s="2777" t="s">
        <v>35</v>
      </c>
      <c r="G234" s="2778"/>
      <c r="H234" s="2779"/>
      <c r="I234" s="663">
        <f t="shared" si="83"/>
        <v>1127.5</v>
      </c>
      <c r="J234" s="664">
        <f>SUM(J233+J231+J232)</f>
        <v>0</v>
      </c>
      <c r="K234" s="664">
        <f t="shared" ref="K234:L234" si="86">SUM(K233+K231+K232)</f>
        <v>0</v>
      </c>
      <c r="L234" s="664">
        <f t="shared" si="86"/>
        <v>1127.5</v>
      </c>
      <c r="M234" s="663">
        <f t="shared" si="82"/>
        <v>1297.9000000000001</v>
      </c>
      <c r="N234" s="664">
        <f>SUM(N231:N233)</f>
        <v>0</v>
      </c>
      <c r="O234" s="664">
        <f>SUM(O231:O233)</f>
        <v>0</v>
      </c>
      <c r="P234" s="664">
        <f>SUM(P231:P233)</f>
        <v>1297.9000000000001</v>
      </c>
      <c r="Q234" s="663">
        <f t="shared" si="84"/>
        <v>1135.0999999999999</v>
      </c>
      <c r="R234" s="664">
        <f>SUM(R231:R233)</f>
        <v>0</v>
      </c>
      <c r="S234" s="664">
        <f t="shared" ref="S234:T234" si="87">SUM(S231:S233)</f>
        <v>0</v>
      </c>
      <c r="T234" s="664">
        <f t="shared" si="87"/>
        <v>1135.0999999999999</v>
      </c>
      <c r="U234" s="663">
        <f t="shared" si="85"/>
        <v>1135.0999999999999</v>
      </c>
      <c r="V234" s="664">
        <f>SUM(V231:V233)</f>
        <v>0</v>
      </c>
      <c r="W234" s="664">
        <f t="shared" ref="W234:X234" si="88">SUM(W231:W233)</f>
        <v>0</v>
      </c>
      <c r="X234" s="662">
        <f t="shared" si="88"/>
        <v>1135.0999999999999</v>
      </c>
      <c r="Y234" s="354"/>
    </row>
    <row r="235" spans="1:25" s="1245" customFormat="1" ht="18" customHeight="1" thickBot="1" x14ac:dyDescent="0.25">
      <c r="A235" s="1321">
        <v>1</v>
      </c>
      <c r="B235" s="1322">
        <v>5</v>
      </c>
      <c r="C235" s="3876" t="s">
        <v>234</v>
      </c>
      <c r="D235" s="3877"/>
      <c r="E235" s="3877"/>
      <c r="F235" s="3877"/>
      <c r="G235" s="3877"/>
      <c r="H235" s="3878"/>
      <c r="I235" s="1312">
        <f t="shared" si="83"/>
        <v>1210.0999999999999</v>
      </c>
      <c r="J235" s="1323">
        <f>J230+J234</f>
        <v>82.6</v>
      </c>
      <c r="K235" s="1323">
        <f>K230+K234</f>
        <v>0</v>
      </c>
      <c r="L235" s="1323">
        <f>L230+L234</f>
        <v>1127.5</v>
      </c>
      <c r="M235" s="1312">
        <f t="shared" si="82"/>
        <v>1378.9</v>
      </c>
      <c r="N235" s="1323">
        <f>N230+N234</f>
        <v>81</v>
      </c>
      <c r="O235" s="1323">
        <f>O230+O234</f>
        <v>0</v>
      </c>
      <c r="P235" s="1323">
        <f>P230+P234</f>
        <v>1297.9000000000001</v>
      </c>
      <c r="Q235" s="1312">
        <f t="shared" si="84"/>
        <v>1223.0999999999999</v>
      </c>
      <c r="R235" s="1323">
        <f>R230+R234</f>
        <v>88</v>
      </c>
      <c r="S235" s="1323">
        <f>S230+S234</f>
        <v>0</v>
      </c>
      <c r="T235" s="1323">
        <f>T230+T234</f>
        <v>1135.0999999999999</v>
      </c>
      <c r="U235" s="1312">
        <f t="shared" si="85"/>
        <v>1223.0999999999999</v>
      </c>
      <c r="V235" s="1323">
        <f>V230+V234</f>
        <v>88</v>
      </c>
      <c r="W235" s="1323">
        <f>W230+W234</f>
        <v>0</v>
      </c>
      <c r="X235" s="1324">
        <f>X230+X234</f>
        <v>1135.0999999999999</v>
      </c>
      <c r="Y235" s="354"/>
    </row>
    <row r="236" spans="1:25" s="1245" customFormat="1" ht="15.75" customHeight="1" thickBot="1" x14ac:dyDescent="0.25">
      <c r="A236" s="1325">
        <v>1</v>
      </c>
      <c r="B236" s="3879" t="s">
        <v>167</v>
      </c>
      <c r="C236" s="3880"/>
      <c r="D236" s="3880"/>
      <c r="E236" s="3880"/>
      <c r="F236" s="3880"/>
      <c r="G236" s="3880"/>
      <c r="H236" s="3881"/>
      <c r="I236" s="1326">
        <f>SUM(J236+L236)</f>
        <v>9173.8999999999978</v>
      </c>
      <c r="J236" s="1326">
        <f>SUM(J121+J222+J226+J235)</f>
        <v>7725.699999999998</v>
      </c>
      <c r="K236" s="1326">
        <f>SUM(K121+K222+K226+K235)</f>
        <v>6228.9000000000005</v>
      </c>
      <c r="L236" s="1326">
        <f>SUM(L121+L222+L226+L235)</f>
        <v>1448.2</v>
      </c>
      <c r="M236" s="1327">
        <f>SUM(N236+P236)</f>
        <v>12098</v>
      </c>
      <c r="N236" s="1326">
        <f>SUM(N121+N222+N226+N235)</f>
        <v>10529.1</v>
      </c>
      <c r="O236" s="1326">
        <f>SUM(O121+O222+O226+O235)</f>
        <v>8148.9</v>
      </c>
      <c r="P236" s="1326">
        <f>SUM(P121+P222+P226+P235)</f>
        <v>1568.9</v>
      </c>
      <c r="Q236" s="1327">
        <f t="shared" si="84"/>
        <v>11154.000000000002</v>
      </c>
      <c r="R236" s="1326">
        <f>SUM(R121+R222+R226+R235)</f>
        <v>9813.9000000000015</v>
      </c>
      <c r="S236" s="1326">
        <f>SUM(S121+S222+S226+S235)</f>
        <v>7940.3</v>
      </c>
      <c r="T236" s="1326">
        <f>SUM(T121+T222+T226+T235)</f>
        <v>1340.1</v>
      </c>
      <c r="U236" s="1327">
        <f t="shared" si="85"/>
        <v>11154.000000000002</v>
      </c>
      <c r="V236" s="1326">
        <f>SUM(V121+V222+V226+V235)</f>
        <v>9813.9000000000015</v>
      </c>
      <c r="W236" s="1326">
        <f>SUM(W121+W222+W226+W235)</f>
        <v>7940.3</v>
      </c>
      <c r="X236" s="1328">
        <f>SUM(X121+X222+X226+X235)</f>
        <v>1340.1</v>
      </c>
      <c r="Y236" s="354"/>
    </row>
    <row r="237" spans="1:25" s="1245" customFormat="1" ht="18" customHeight="1" thickBot="1" x14ac:dyDescent="0.25">
      <c r="A237" s="1329">
        <v>2</v>
      </c>
      <c r="B237" s="3882" t="s">
        <v>1172</v>
      </c>
      <c r="C237" s="3882"/>
      <c r="D237" s="3882"/>
      <c r="E237" s="3882"/>
      <c r="F237" s="3882"/>
      <c r="G237" s="3882"/>
      <c r="H237" s="3882"/>
      <c r="I237" s="3882"/>
      <c r="J237" s="3882"/>
      <c r="K237" s="3882"/>
      <c r="L237" s="3882"/>
      <c r="M237" s="3882"/>
      <c r="N237" s="3882"/>
      <c r="O237" s="3882"/>
      <c r="P237" s="3882"/>
      <c r="Q237" s="3882"/>
      <c r="R237" s="3882"/>
      <c r="S237" s="3882"/>
      <c r="T237" s="3882"/>
      <c r="U237" s="3882"/>
      <c r="V237" s="3882"/>
      <c r="W237" s="3882"/>
      <c r="X237" s="3882"/>
      <c r="Y237" s="1269"/>
    </row>
    <row r="238" spans="1:25" s="1245" customFormat="1" ht="18" customHeight="1" thickBot="1" x14ac:dyDescent="0.25">
      <c r="A238" s="1330">
        <v>2</v>
      </c>
      <c r="B238" s="1331">
        <v>1</v>
      </c>
      <c r="C238" s="3883" t="s">
        <v>1173</v>
      </c>
      <c r="D238" s="3883"/>
      <c r="E238" s="3883"/>
      <c r="F238" s="3883"/>
      <c r="G238" s="3883"/>
      <c r="H238" s="3883"/>
      <c r="I238" s="3883"/>
      <c r="J238" s="3883"/>
      <c r="K238" s="3883"/>
      <c r="L238" s="3883"/>
      <c r="M238" s="3883"/>
      <c r="N238" s="3883"/>
      <c r="O238" s="3883"/>
      <c r="P238" s="3883"/>
      <c r="Q238" s="3883"/>
      <c r="R238" s="3883"/>
      <c r="S238" s="3883"/>
      <c r="T238" s="3883"/>
      <c r="U238" s="3883"/>
      <c r="V238" s="3883"/>
      <c r="W238" s="3883"/>
      <c r="X238" s="3883"/>
      <c r="Y238" s="1269"/>
    </row>
    <row r="239" spans="1:25" ht="24" customHeight="1" x14ac:dyDescent="0.2">
      <c r="A239" s="2844">
        <v>2</v>
      </c>
      <c r="B239" s="2845">
        <v>1</v>
      </c>
      <c r="C239" s="2839">
        <v>1</v>
      </c>
      <c r="D239" s="3887" t="s">
        <v>1174</v>
      </c>
      <c r="E239" s="3889">
        <v>15</v>
      </c>
      <c r="F239" s="2493" t="s">
        <v>137</v>
      </c>
      <c r="G239" s="2493" t="s">
        <v>1175</v>
      </c>
      <c r="H239" s="1332" t="s">
        <v>30</v>
      </c>
      <c r="I239" s="1246">
        <f>SUM(J239)</f>
        <v>3.3</v>
      </c>
      <c r="J239" s="706">
        <v>3.3</v>
      </c>
      <c r="K239" s="706"/>
      <c r="L239" s="708"/>
      <c r="M239" s="1246">
        <f>SUM(N239+P239)</f>
        <v>22</v>
      </c>
      <c r="N239" s="706">
        <v>22</v>
      </c>
      <c r="O239" s="706"/>
      <c r="P239" s="707"/>
      <c r="Q239" s="1246">
        <f>SUM(R239+T239)</f>
        <v>22</v>
      </c>
      <c r="R239" s="706">
        <v>22</v>
      </c>
      <c r="S239" s="706"/>
      <c r="T239" s="708"/>
      <c r="U239" s="1246">
        <f>SUM(V239+X239)</f>
        <v>22</v>
      </c>
      <c r="V239" s="747">
        <v>22</v>
      </c>
      <c r="W239" s="1263"/>
      <c r="X239" s="1264"/>
      <c r="Y239" s="1269"/>
    </row>
    <row r="240" spans="1:25" ht="25.5" customHeight="1" thickBot="1" x14ac:dyDescent="0.25">
      <c r="A240" s="2844"/>
      <c r="B240" s="2845"/>
      <c r="C240" s="2846"/>
      <c r="D240" s="3887"/>
      <c r="E240" s="3890"/>
      <c r="F240" s="3160"/>
      <c r="G240" s="3160"/>
      <c r="H240" s="1333" t="s">
        <v>202</v>
      </c>
      <c r="I240" s="1262">
        <f>SUM(J240)</f>
        <v>0</v>
      </c>
      <c r="J240" s="731"/>
      <c r="K240" s="731"/>
      <c r="L240" s="730"/>
      <c r="M240" s="1246">
        <f>SUM(N240+P240)</f>
        <v>10</v>
      </c>
      <c r="N240" s="731">
        <v>10</v>
      </c>
      <c r="O240" s="731"/>
      <c r="P240" s="656"/>
      <c r="Q240" s="1262">
        <f>SUM(R240)</f>
        <v>10</v>
      </c>
      <c r="R240" s="731">
        <v>10</v>
      </c>
      <c r="S240" s="731"/>
      <c r="T240" s="730"/>
      <c r="U240" s="1262">
        <f>SUM(V240)</f>
        <v>10</v>
      </c>
      <c r="V240" s="659">
        <v>10</v>
      </c>
      <c r="W240" s="1320"/>
      <c r="X240" s="1272"/>
      <c r="Y240" s="1269"/>
    </row>
    <row r="241" spans="1:25" s="1245" customFormat="1" ht="21.75" customHeight="1" thickBot="1" x14ac:dyDescent="0.25">
      <c r="A241" s="2844"/>
      <c r="B241" s="2845"/>
      <c r="C241" s="2846"/>
      <c r="D241" s="3888"/>
      <c r="E241" s="3890"/>
      <c r="F241" s="3788" t="s">
        <v>35</v>
      </c>
      <c r="G241" s="3789"/>
      <c r="H241" s="3790"/>
      <c r="I241" s="663">
        <f>SUM(J241+L241)</f>
        <v>3.3</v>
      </c>
      <c r="J241" s="664">
        <f>SUM(J239+J240)</f>
        <v>3.3</v>
      </c>
      <c r="K241" s="664">
        <f>SUM(K239)</f>
        <v>0</v>
      </c>
      <c r="L241" s="662">
        <f>SUM(L239)</f>
        <v>0</v>
      </c>
      <c r="M241" s="714">
        <f>SUM(N241+P241)</f>
        <v>32</v>
      </c>
      <c r="N241" s="711">
        <f>SUM(N239+N240)</f>
        <v>32</v>
      </c>
      <c r="O241" s="711">
        <f>SUM(O239)</f>
        <v>0</v>
      </c>
      <c r="P241" s="712">
        <f>SUM(P239)</f>
        <v>0</v>
      </c>
      <c r="Q241" s="714">
        <f>SUM(R241+T241)</f>
        <v>32</v>
      </c>
      <c r="R241" s="711">
        <f>SUM(R239+R240)</f>
        <v>32</v>
      </c>
      <c r="S241" s="711">
        <f>SUM(S239)</f>
        <v>0</v>
      </c>
      <c r="T241" s="712">
        <f>SUM(T239)</f>
        <v>0</v>
      </c>
      <c r="U241" s="714">
        <f>SUM(V241+X241)</f>
        <v>32</v>
      </c>
      <c r="V241" s="664">
        <f>SUM(V239+V240)</f>
        <v>32</v>
      </c>
      <c r="W241" s="664">
        <f>SUM(W239)</f>
        <v>0</v>
      </c>
      <c r="X241" s="662">
        <f>SUM(X239)</f>
        <v>0</v>
      </c>
      <c r="Y241" s="1269"/>
    </row>
    <row r="242" spans="1:25" s="1245" customFormat="1" ht="21" customHeight="1" thickBot="1" x14ac:dyDescent="0.25">
      <c r="A242" s="2844">
        <v>2</v>
      </c>
      <c r="B242" s="2845">
        <v>1</v>
      </c>
      <c r="C242" s="2846">
        <v>2</v>
      </c>
      <c r="D242" s="3829" t="s">
        <v>1176</v>
      </c>
      <c r="E242" s="2526">
        <v>10</v>
      </c>
      <c r="F242" s="1334" t="s">
        <v>983</v>
      </c>
      <c r="G242" s="1335" t="s">
        <v>1177</v>
      </c>
      <c r="H242" s="2237" t="s">
        <v>30</v>
      </c>
      <c r="I242" s="1238">
        <f t="shared" ref="I242:I245" si="89">SUM(J242+L242)</f>
        <v>22</v>
      </c>
      <c r="J242" s="726">
        <v>22</v>
      </c>
      <c r="K242" s="726"/>
      <c r="L242" s="728"/>
      <c r="M242" s="1238">
        <f t="shared" ref="M242:M245" si="90">SUM(N242+P242)</f>
        <v>23</v>
      </c>
      <c r="N242" s="726">
        <v>23</v>
      </c>
      <c r="O242" s="726"/>
      <c r="P242" s="728"/>
      <c r="Q242" s="1336">
        <f t="shared" ref="Q242:Q245" si="91">SUM(R242+T242)</f>
        <v>23</v>
      </c>
      <c r="R242" s="726">
        <v>23</v>
      </c>
      <c r="S242" s="726"/>
      <c r="T242" s="727"/>
      <c r="U242" s="1336">
        <f t="shared" ref="U242:U245" si="92">SUM(V242+X242)</f>
        <v>23</v>
      </c>
      <c r="V242" s="726">
        <v>23</v>
      </c>
      <c r="W242" s="1260"/>
      <c r="X242" s="1239"/>
      <c r="Y242" s="354"/>
    </row>
    <row r="243" spans="1:25" s="1245" customFormat="1" ht="21" customHeight="1" thickBot="1" x14ac:dyDescent="0.25">
      <c r="A243" s="2844"/>
      <c r="B243" s="2845"/>
      <c r="C243" s="2846"/>
      <c r="D243" s="3829"/>
      <c r="E243" s="2816"/>
      <c r="F243" s="2777" t="s">
        <v>35</v>
      </c>
      <c r="G243" s="2778"/>
      <c r="H243" s="2779"/>
      <c r="I243" s="714">
        <f t="shared" si="89"/>
        <v>22</v>
      </c>
      <c r="J243" s="711">
        <f>SUM(J242)</f>
        <v>22</v>
      </c>
      <c r="K243" s="711">
        <f>SUM(K242)</f>
        <v>0</v>
      </c>
      <c r="L243" s="713">
        <f>SUM(L242)</f>
        <v>0</v>
      </c>
      <c r="M243" s="714">
        <f t="shared" si="90"/>
        <v>23</v>
      </c>
      <c r="N243" s="711">
        <f>SUM(N242)</f>
        <v>23</v>
      </c>
      <c r="O243" s="711">
        <f>SUM(O242)</f>
        <v>0</v>
      </c>
      <c r="P243" s="713">
        <f>SUM(P242)</f>
        <v>0</v>
      </c>
      <c r="Q243" s="714">
        <f t="shared" si="91"/>
        <v>23</v>
      </c>
      <c r="R243" s="711">
        <f>SUM(R242)</f>
        <v>23</v>
      </c>
      <c r="S243" s="711">
        <f>SUM(S242)</f>
        <v>0</v>
      </c>
      <c r="T243" s="712">
        <f>SUM(T242)</f>
        <v>0</v>
      </c>
      <c r="U243" s="714">
        <f t="shared" si="92"/>
        <v>23</v>
      </c>
      <c r="V243" s="711">
        <f>SUM(V242)</f>
        <v>23</v>
      </c>
      <c r="W243" s="664">
        <f>SUM(W242)</f>
        <v>0</v>
      </c>
      <c r="X243" s="662">
        <f>SUM(X242)</f>
        <v>0</v>
      </c>
      <c r="Y243" s="354"/>
    </row>
    <row r="244" spans="1:25" s="1245" customFormat="1" ht="28.9" customHeight="1" thickBot="1" x14ac:dyDescent="0.25">
      <c r="A244" s="2844">
        <v>2</v>
      </c>
      <c r="B244" s="2845">
        <v>1</v>
      </c>
      <c r="C244" s="2846">
        <v>3</v>
      </c>
      <c r="D244" s="3829" t="s">
        <v>1178</v>
      </c>
      <c r="E244" s="2822">
        <v>10</v>
      </c>
      <c r="F244" s="1337" t="s">
        <v>1179</v>
      </c>
      <c r="G244" s="1337" t="s">
        <v>1180</v>
      </c>
      <c r="H244" s="1285" t="s">
        <v>30</v>
      </c>
      <c r="I244" s="1238">
        <f t="shared" si="89"/>
        <v>13.2</v>
      </c>
      <c r="J244" s="726">
        <v>13.2</v>
      </c>
      <c r="K244" s="726"/>
      <c r="L244" s="728"/>
      <c r="M244" s="1300">
        <f t="shared" si="90"/>
        <v>0</v>
      </c>
      <c r="N244" s="68"/>
      <c r="O244" s="726"/>
      <c r="P244" s="728"/>
      <c r="Q244" s="1336">
        <f t="shared" si="91"/>
        <v>0</v>
      </c>
      <c r="R244" s="726"/>
      <c r="S244" s="726"/>
      <c r="T244" s="727"/>
      <c r="U244" s="1336">
        <f t="shared" si="92"/>
        <v>0</v>
      </c>
      <c r="V244" s="726"/>
      <c r="W244" s="726"/>
      <c r="X244" s="1239"/>
      <c r="Y244" s="354"/>
    </row>
    <row r="245" spans="1:25" s="1245" customFormat="1" ht="28.9" customHeight="1" thickBot="1" x14ac:dyDescent="0.25">
      <c r="A245" s="2844"/>
      <c r="B245" s="2845"/>
      <c r="C245" s="2846"/>
      <c r="D245" s="3829"/>
      <c r="E245" s="2824"/>
      <c r="F245" s="2777" t="s">
        <v>35</v>
      </c>
      <c r="G245" s="2778"/>
      <c r="H245" s="2779"/>
      <c r="I245" s="714">
        <f t="shared" si="89"/>
        <v>13.2</v>
      </c>
      <c r="J245" s="711">
        <f>SUM(J244)</f>
        <v>13.2</v>
      </c>
      <c r="K245" s="711">
        <f>SUM(K244)</f>
        <v>0</v>
      </c>
      <c r="L245" s="713">
        <f>SUM(L244)</f>
        <v>0</v>
      </c>
      <c r="M245" s="714">
        <f t="shared" si="90"/>
        <v>0</v>
      </c>
      <c r="N245" s="711">
        <f>SUM(N244)</f>
        <v>0</v>
      </c>
      <c r="O245" s="711">
        <f>SUM(O244)</f>
        <v>0</v>
      </c>
      <c r="P245" s="713">
        <f>SUM(P244)</f>
        <v>0</v>
      </c>
      <c r="Q245" s="714">
        <f t="shared" si="91"/>
        <v>0</v>
      </c>
      <c r="R245" s="711">
        <f>R244</f>
        <v>0</v>
      </c>
      <c r="S245" s="711">
        <f>SUM(S244)</f>
        <v>0</v>
      </c>
      <c r="T245" s="712">
        <f>SUM(T244)</f>
        <v>0</v>
      </c>
      <c r="U245" s="714">
        <f t="shared" si="92"/>
        <v>0</v>
      </c>
      <c r="V245" s="711">
        <f>SUM(V244)</f>
        <v>0</v>
      </c>
      <c r="W245" s="664">
        <f>SUM(W244)</f>
        <v>0</v>
      </c>
      <c r="X245" s="662">
        <f>SUM(X244)</f>
        <v>0</v>
      </c>
      <c r="Y245" s="354"/>
    </row>
    <row r="246" spans="1:25" s="1245" customFormat="1" ht="16.350000000000001" customHeight="1" thickBot="1" x14ac:dyDescent="0.25">
      <c r="A246" s="2132">
        <v>2</v>
      </c>
      <c r="B246" s="2136">
        <v>1</v>
      </c>
      <c r="C246" s="3870" t="s">
        <v>234</v>
      </c>
      <c r="D246" s="3871"/>
      <c r="E246" s="3871"/>
      <c r="F246" s="3871"/>
      <c r="G246" s="3871"/>
      <c r="H246" s="3872"/>
      <c r="I246" s="1338">
        <f>SUM(J246)</f>
        <v>38.5</v>
      </c>
      <c r="J246" s="1313">
        <f>SUM(J241+J243+J245)</f>
        <v>38.5</v>
      </c>
      <c r="K246" s="1313">
        <f t="shared" ref="K246:L246" si="93">SUM(K241+K243+K245)</f>
        <v>0</v>
      </c>
      <c r="L246" s="1313">
        <f t="shared" si="93"/>
        <v>0</v>
      </c>
      <c r="M246" s="1339">
        <f>SUM(N246)</f>
        <v>55</v>
      </c>
      <c r="N246" s="1313">
        <f>SUM(N241+N243+N245)</f>
        <v>55</v>
      </c>
      <c r="O246" s="1313">
        <f t="shared" ref="O246:P246" si="94">SUM(O241+O243+O245)</f>
        <v>0</v>
      </c>
      <c r="P246" s="1313">
        <f t="shared" si="94"/>
        <v>0</v>
      </c>
      <c r="Q246" s="1339">
        <f>T246+R246</f>
        <v>55</v>
      </c>
      <c r="R246" s="1313">
        <f>SUM(R241+R243+R245)</f>
        <v>55</v>
      </c>
      <c r="S246" s="1313">
        <f t="shared" ref="S246:T246" si="95">SUM(S241+S243+S245)</f>
        <v>0</v>
      </c>
      <c r="T246" s="1313">
        <f t="shared" si="95"/>
        <v>0</v>
      </c>
      <c r="U246" s="1339">
        <f>X246+V246</f>
        <v>55</v>
      </c>
      <c r="V246" s="1313">
        <f>SUM(V241+V243+V245)</f>
        <v>55</v>
      </c>
      <c r="W246" s="1313">
        <f t="shared" ref="W246:X246" si="96">SUM(W241+W243+W245)</f>
        <v>0</v>
      </c>
      <c r="X246" s="1324">
        <f t="shared" si="96"/>
        <v>0</v>
      </c>
      <c r="Y246" s="1269"/>
    </row>
    <row r="247" spans="1:25" s="1245" customFormat="1" ht="19.5" customHeight="1" thickBot="1" x14ac:dyDescent="0.25">
      <c r="A247" s="2139">
        <v>2</v>
      </c>
      <c r="B247" s="1340">
        <v>2</v>
      </c>
      <c r="C247" s="2552" t="s">
        <v>1181</v>
      </c>
      <c r="D247" s="2553"/>
      <c r="E247" s="2553"/>
      <c r="F247" s="2553"/>
      <c r="G247" s="2553"/>
      <c r="H247" s="2553"/>
      <c r="I247" s="2553"/>
      <c r="J247" s="2553"/>
      <c r="K247" s="2553"/>
      <c r="L247" s="2553"/>
      <c r="M247" s="2553"/>
      <c r="N247" s="2553"/>
      <c r="O247" s="2553"/>
      <c r="P247" s="2553"/>
      <c r="Q247" s="2553"/>
      <c r="R247" s="2553"/>
      <c r="S247" s="2553"/>
      <c r="T247" s="2553"/>
      <c r="U247" s="2553"/>
      <c r="V247" s="2553"/>
      <c r="W247" s="2553"/>
      <c r="X247" s="2554"/>
      <c r="Y247" s="1269"/>
    </row>
    <row r="248" spans="1:25" s="1245" customFormat="1" ht="21" customHeight="1" thickBot="1" x14ac:dyDescent="0.25">
      <c r="A248" s="2844">
        <v>2</v>
      </c>
      <c r="B248" s="2845">
        <v>2</v>
      </c>
      <c r="C248" s="2807">
        <v>1</v>
      </c>
      <c r="D248" s="2503" t="s">
        <v>1182</v>
      </c>
      <c r="E248" s="2856" t="s">
        <v>1033</v>
      </c>
      <c r="F248" s="2102" t="s">
        <v>983</v>
      </c>
      <c r="G248" s="2102" t="s">
        <v>1183</v>
      </c>
      <c r="H248" s="1315" t="s">
        <v>30</v>
      </c>
      <c r="I248" s="1238">
        <f>SUM(J248)</f>
        <v>6.9</v>
      </c>
      <c r="J248" s="726">
        <v>6.9</v>
      </c>
      <c r="K248" s="726"/>
      <c r="L248" s="728"/>
      <c r="M248" s="1267">
        <f t="shared" ref="M248:M249" si="97">SUM(N248+P248)</f>
        <v>7.8</v>
      </c>
      <c r="N248" s="726">
        <v>7.8</v>
      </c>
      <c r="O248" s="726"/>
      <c r="P248" s="727"/>
      <c r="Q248" s="1268">
        <f t="shared" ref="Q248:Q264" si="98">SUM(R248+T248)</f>
        <v>7.8</v>
      </c>
      <c r="R248" s="726">
        <v>7.8</v>
      </c>
      <c r="S248" s="726"/>
      <c r="T248" s="727"/>
      <c r="U248" s="1238">
        <f t="shared" ref="U248:U264" si="99">SUM(V248+X248)</f>
        <v>7.8</v>
      </c>
      <c r="V248" s="726">
        <v>7.8</v>
      </c>
      <c r="W248" s="70"/>
      <c r="X248" s="1239"/>
      <c r="Y248" s="1269"/>
    </row>
    <row r="249" spans="1:25" s="1245" customFormat="1" ht="21" customHeight="1" thickBot="1" x14ac:dyDescent="0.25">
      <c r="A249" s="2844"/>
      <c r="B249" s="2845"/>
      <c r="C249" s="2807"/>
      <c r="D249" s="2505"/>
      <c r="E249" s="2856"/>
      <c r="F249" s="3891" t="s">
        <v>35</v>
      </c>
      <c r="G249" s="3892"/>
      <c r="H249" s="3893"/>
      <c r="I249" s="1341">
        <f>SUM(J249+L249)</f>
        <v>6.9</v>
      </c>
      <c r="J249" s="1342">
        <f>SUM(J248)</f>
        <v>6.9</v>
      </c>
      <c r="K249" s="1342">
        <f>SUM(K248)</f>
        <v>0</v>
      </c>
      <c r="L249" s="1343">
        <f>SUM(L248)</f>
        <v>0</v>
      </c>
      <c r="M249" s="1341">
        <f t="shared" si="97"/>
        <v>7.8</v>
      </c>
      <c r="N249" s="1342">
        <f>SUM(N248)</f>
        <v>7.8</v>
      </c>
      <c r="O249" s="1342">
        <f>SUM(O248)</f>
        <v>0</v>
      </c>
      <c r="P249" s="1343">
        <f>SUM(P248)</f>
        <v>0</v>
      </c>
      <c r="Q249" s="1341">
        <f t="shared" si="98"/>
        <v>7.8</v>
      </c>
      <c r="R249" s="1342">
        <f>SUM(R248)</f>
        <v>7.8</v>
      </c>
      <c r="S249" s="1342">
        <f>SUM(S248)</f>
        <v>0</v>
      </c>
      <c r="T249" s="1343">
        <f>SUM(T248)</f>
        <v>0</v>
      </c>
      <c r="U249" s="1341">
        <f t="shared" si="99"/>
        <v>7.8</v>
      </c>
      <c r="V249" s="664">
        <f>SUM(V248)</f>
        <v>7.8</v>
      </c>
      <c r="W249" s="664">
        <f>SUM(W248)</f>
        <v>0</v>
      </c>
      <c r="X249" s="662">
        <f>SUM(X248)</f>
        <v>0</v>
      </c>
      <c r="Y249" s="1269"/>
    </row>
    <row r="250" spans="1:25" s="1245" customFormat="1" ht="21" customHeight="1" x14ac:dyDescent="0.2">
      <c r="A250" s="2844">
        <v>2</v>
      </c>
      <c r="B250" s="2845">
        <v>2</v>
      </c>
      <c r="C250" s="2807">
        <v>2</v>
      </c>
      <c r="D250" s="3894" t="s">
        <v>1184</v>
      </c>
      <c r="E250" s="3897" t="s">
        <v>1185</v>
      </c>
      <c r="F250" s="2530" t="s">
        <v>1186</v>
      </c>
      <c r="G250" s="2501" t="s">
        <v>1187</v>
      </c>
      <c r="H250" s="774" t="s">
        <v>30</v>
      </c>
      <c r="I250" s="1235">
        <f>SUM(J250+L250)</f>
        <v>50.8</v>
      </c>
      <c r="J250" s="718">
        <v>30.9</v>
      </c>
      <c r="K250" s="718"/>
      <c r="L250" s="720">
        <v>19.899999999999999</v>
      </c>
      <c r="M250" s="1344">
        <f t="shared" ref="M250:M262" si="100">SUM(N250+P250)</f>
        <v>300</v>
      </c>
      <c r="N250" s="64">
        <v>120</v>
      </c>
      <c r="O250" s="64"/>
      <c r="P250" s="65">
        <v>180</v>
      </c>
      <c r="Q250" s="1345">
        <f t="shared" si="98"/>
        <v>300</v>
      </c>
      <c r="R250" s="63">
        <v>120</v>
      </c>
      <c r="S250" s="64"/>
      <c r="T250" s="65">
        <v>180</v>
      </c>
      <c r="U250" s="1345">
        <f t="shared" si="99"/>
        <v>300</v>
      </c>
      <c r="V250" s="63">
        <v>120</v>
      </c>
      <c r="W250" s="64"/>
      <c r="X250" s="65">
        <v>180</v>
      </c>
      <c r="Y250" s="1269"/>
    </row>
    <row r="251" spans="1:25" s="1245" customFormat="1" ht="27.75" customHeight="1" x14ac:dyDescent="0.2">
      <c r="A251" s="2844"/>
      <c r="B251" s="2845"/>
      <c r="C251" s="2807"/>
      <c r="D251" s="3895"/>
      <c r="E251" s="3898"/>
      <c r="F251" s="2530"/>
      <c r="G251" s="2513"/>
      <c r="H251" s="775" t="s">
        <v>99</v>
      </c>
      <c r="I251" s="1238">
        <f t="shared" ref="I251:I262" si="101">SUM(J251+L251)</f>
        <v>6</v>
      </c>
      <c r="J251" s="726"/>
      <c r="K251" s="726"/>
      <c r="L251" s="727">
        <v>6</v>
      </c>
      <c r="M251" s="1300">
        <f t="shared" si="100"/>
        <v>0</v>
      </c>
      <c r="N251" s="68">
        <f>20-20</f>
        <v>0</v>
      </c>
      <c r="O251" s="68"/>
      <c r="P251" s="69"/>
      <c r="Q251" s="1345">
        <f t="shared" si="98"/>
        <v>0</v>
      </c>
      <c r="R251" s="67"/>
      <c r="S251" s="68"/>
      <c r="T251" s="69"/>
      <c r="U251" s="1345">
        <f t="shared" si="99"/>
        <v>0</v>
      </c>
      <c r="V251" s="67"/>
      <c r="W251" s="68"/>
      <c r="X251" s="69"/>
      <c r="Y251" s="1269"/>
    </row>
    <row r="252" spans="1:25" s="1245" customFormat="1" ht="27.75" customHeight="1" x14ac:dyDescent="0.2">
      <c r="A252" s="2844"/>
      <c r="B252" s="2845"/>
      <c r="C252" s="2807"/>
      <c r="D252" s="3895"/>
      <c r="E252" s="3899"/>
      <c r="F252" s="2530"/>
      <c r="G252" s="2531"/>
      <c r="H252" s="775" t="s">
        <v>32</v>
      </c>
      <c r="I252" s="1238">
        <f t="shared" si="101"/>
        <v>0</v>
      </c>
      <c r="J252" s="726"/>
      <c r="K252" s="726"/>
      <c r="L252" s="727"/>
      <c r="M252" s="1300">
        <f t="shared" si="100"/>
        <v>115.8</v>
      </c>
      <c r="N252" s="68">
        <v>7</v>
      </c>
      <c r="O252" s="68"/>
      <c r="P252" s="69">
        <v>108.8</v>
      </c>
      <c r="Q252" s="1345">
        <f t="shared" si="98"/>
        <v>0</v>
      </c>
      <c r="R252" s="67"/>
      <c r="S252" s="68"/>
      <c r="T252" s="69"/>
      <c r="U252" s="1345">
        <f t="shared" si="99"/>
        <v>0</v>
      </c>
      <c r="V252" s="67"/>
      <c r="W252" s="68"/>
      <c r="X252" s="69"/>
      <c r="Y252" s="1269"/>
    </row>
    <row r="253" spans="1:25" s="1245" customFormat="1" ht="20.25" customHeight="1" x14ac:dyDescent="0.2">
      <c r="A253" s="2844"/>
      <c r="B253" s="2845"/>
      <c r="C253" s="2807"/>
      <c r="D253" s="3895"/>
      <c r="E253" s="2801" t="s">
        <v>1188</v>
      </c>
      <c r="F253" s="2530" t="s">
        <v>1186</v>
      </c>
      <c r="G253" s="2510" t="s">
        <v>1189</v>
      </c>
      <c r="H253" s="774" t="s">
        <v>30</v>
      </c>
      <c r="I253" s="1238">
        <f t="shared" si="101"/>
        <v>39</v>
      </c>
      <c r="J253" s="726">
        <v>22.2</v>
      </c>
      <c r="K253" s="726"/>
      <c r="L253" s="727">
        <v>16.8</v>
      </c>
      <c r="M253" s="1300">
        <f t="shared" si="100"/>
        <v>0</v>
      </c>
      <c r="N253" s="68"/>
      <c r="O253" s="68"/>
      <c r="P253" s="69"/>
      <c r="Q253" s="1345">
        <f t="shared" si="98"/>
        <v>0</v>
      </c>
      <c r="R253" s="67"/>
      <c r="S253" s="68"/>
      <c r="T253" s="69"/>
      <c r="U253" s="1345">
        <f t="shared" si="99"/>
        <v>0</v>
      </c>
      <c r="V253" s="67"/>
      <c r="W253" s="68"/>
      <c r="X253" s="69"/>
      <c r="Y253" s="1269"/>
    </row>
    <row r="254" spans="1:25" s="1245" customFormat="1" ht="20.25" hidden="1" customHeight="1" x14ac:dyDescent="0.2">
      <c r="A254" s="2844"/>
      <c r="B254" s="2845"/>
      <c r="C254" s="2807"/>
      <c r="D254" s="3895"/>
      <c r="E254" s="2803"/>
      <c r="F254" s="2530"/>
      <c r="G254" s="2531"/>
      <c r="H254" s="774" t="s">
        <v>32</v>
      </c>
      <c r="I254" s="1238">
        <f t="shared" si="101"/>
        <v>0</v>
      </c>
      <c r="J254" s="726"/>
      <c r="K254" s="726"/>
      <c r="L254" s="727"/>
      <c r="M254" s="1300">
        <f t="shared" si="100"/>
        <v>0</v>
      </c>
      <c r="N254" s="68"/>
      <c r="O254" s="68"/>
      <c r="P254" s="1346"/>
      <c r="Q254" s="1345">
        <f t="shared" si="98"/>
        <v>0</v>
      </c>
      <c r="R254" s="67"/>
      <c r="S254" s="68"/>
      <c r="T254" s="69"/>
      <c r="U254" s="1345">
        <f t="shared" si="99"/>
        <v>0</v>
      </c>
      <c r="V254" s="67"/>
      <c r="W254" s="68"/>
      <c r="X254" s="69"/>
      <c r="Y254" s="1269"/>
    </row>
    <row r="255" spans="1:25" s="1245" customFormat="1" ht="21" customHeight="1" x14ac:dyDescent="0.2">
      <c r="A255" s="2844"/>
      <c r="B255" s="2845"/>
      <c r="C255" s="2807"/>
      <c r="D255" s="3895"/>
      <c r="E255" s="2801" t="s">
        <v>1190</v>
      </c>
      <c r="F255" s="2530" t="s">
        <v>1186</v>
      </c>
      <c r="G255" s="2510" t="s">
        <v>1191</v>
      </c>
      <c r="H255" s="774" t="s">
        <v>30</v>
      </c>
      <c r="I255" s="1238">
        <f t="shared" si="101"/>
        <v>4.0999999999999996</v>
      </c>
      <c r="J255" s="726"/>
      <c r="K255" s="726"/>
      <c r="L255" s="727">
        <v>4.0999999999999996</v>
      </c>
      <c r="M255" s="1300">
        <f t="shared" si="100"/>
        <v>0</v>
      </c>
      <c r="N255" s="68"/>
      <c r="O255" s="68"/>
      <c r="P255" s="69"/>
      <c r="Q255" s="1345">
        <f t="shared" si="98"/>
        <v>0</v>
      </c>
      <c r="R255" s="67"/>
      <c r="S255" s="68"/>
      <c r="T255" s="69"/>
      <c r="U255" s="1345">
        <f t="shared" si="99"/>
        <v>0</v>
      </c>
      <c r="V255" s="67"/>
      <c r="W255" s="68"/>
      <c r="X255" s="69"/>
      <c r="Y255" s="1269"/>
    </row>
    <row r="256" spans="1:25" s="1245" customFormat="1" ht="21" hidden="1" customHeight="1" x14ac:dyDescent="0.2">
      <c r="A256" s="2844"/>
      <c r="B256" s="2845"/>
      <c r="C256" s="2807"/>
      <c r="D256" s="3895"/>
      <c r="E256" s="2803"/>
      <c r="F256" s="2530"/>
      <c r="G256" s="2531"/>
      <c r="H256" s="774" t="s">
        <v>32</v>
      </c>
      <c r="I256" s="1238">
        <f t="shared" si="101"/>
        <v>0</v>
      </c>
      <c r="J256" s="726"/>
      <c r="K256" s="726"/>
      <c r="L256" s="727"/>
      <c r="M256" s="1300">
        <f t="shared" si="100"/>
        <v>0</v>
      </c>
      <c r="N256" s="68"/>
      <c r="O256" s="68"/>
      <c r="P256" s="69"/>
      <c r="Q256" s="1345">
        <f t="shared" si="98"/>
        <v>0</v>
      </c>
      <c r="R256" s="67"/>
      <c r="S256" s="68"/>
      <c r="T256" s="69"/>
      <c r="U256" s="1345">
        <f t="shared" si="99"/>
        <v>0</v>
      </c>
      <c r="V256" s="67"/>
      <c r="W256" s="68"/>
      <c r="X256" s="69"/>
      <c r="Y256" s="1269"/>
    </row>
    <row r="257" spans="1:25" s="1245" customFormat="1" ht="21" customHeight="1" x14ac:dyDescent="0.2">
      <c r="A257" s="2844"/>
      <c r="B257" s="2845"/>
      <c r="C257" s="2807"/>
      <c r="D257" s="3895"/>
      <c r="E257" s="2801" t="s">
        <v>1192</v>
      </c>
      <c r="F257" s="2530" t="s">
        <v>1186</v>
      </c>
      <c r="G257" s="2530" t="s">
        <v>1193</v>
      </c>
      <c r="H257" s="774" t="s">
        <v>30</v>
      </c>
      <c r="I257" s="1238">
        <f t="shared" si="101"/>
        <v>3.6</v>
      </c>
      <c r="J257" s="726">
        <v>2.5</v>
      </c>
      <c r="K257" s="726"/>
      <c r="L257" s="727">
        <v>1.1000000000000001</v>
      </c>
      <c r="M257" s="1300">
        <f t="shared" si="100"/>
        <v>0</v>
      </c>
      <c r="N257" s="68"/>
      <c r="O257" s="68"/>
      <c r="P257" s="69"/>
      <c r="Q257" s="1345">
        <f t="shared" si="98"/>
        <v>0</v>
      </c>
      <c r="R257" s="67"/>
      <c r="S257" s="68"/>
      <c r="T257" s="69"/>
      <c r="U257" s="1345">
        <f t="shared" si="99"/>
        <v>0</v>
      </c>
      <c r="V257" s="67"/>
      <c r="W257" s="68"/>
      <c r="X257" s="69"/>
      <c r="Y257" s="1269"/>
    </row>
    <row r="258" spans="1:25" s="1245" customFormat="1" ht="21" hidden="1" customHeight="1" x14ac:dyDescent="0.2">
      <c r="A258" s="2844"/>
      <c r="B258" s="2845"/>
      <c r="C258" s="2807"/>
      <c r="D258" s="3895"/>
      <c r="E258" s="2803"/>
      <c r="F258" s="2530"/>
      <c r="G258" s="2530"/>
      <c r="H258" s="774" t="s">
        <v>32</v>
      </c>
      <c r="I258" s="1238">
        <f t="shared" si="101"/>
        <v>0</v>
      </c>
      <c r="J258" s="726"/>
      <c r="K258" s="726"/>
      <c r="L258" s="727"/>
      <c r="M258" s="1300">
        <f t="shared" si="100"/>
        <v>0</v>
      </c>
      <c r="N258" s="68"/>
      <c r="O258" s="68"/>
      <c r="P258" s="69"/>
      <c r="Q258" s="1345">
        <f t="shared" si="98"/>
        <v>0</v>
      </c>
      <c r="R258" s="67"/>
      <c r="S258" s="68"/>
      <c r="T258" s="69"/>
      <c r="U258" s="1345">
        <f t="shared" si="99"/>
        <v>0</v>
      </c>
      <c r="V258" s="67"/>
      <c r="W258" s="68"/>
      <c r="X258" s="69"/>
      <c r="Y258" s="1269"/>
    </row>
    <row r="259" spans="1:25" s="1245" customFormat="1" ht="21" customHeight="1" x14ac:dyDescent="0.2">
      <c r="A259" s="2844"/>
      <c r="B259" s="2845"/>
      <c r="C259" s="2807"/>
      <c r="D259" s="3895"/>
      <c r="E259" s="2801" t="s">
        <v>1194</v>
      </c>
      <c r="F259" s="2530" t="s">
        <v>1186</v>
      </c>
      <c r="G259" s="2530" t="s">
        <v>1195</v>
      </c>
      <c r="H259" s="774" t="s">
        <v>30</v>
      </c>
      <c r="I259" s="1238">
        <f t="shared" si="101"/>
        <v>3</v>
      </c>
      <c r="J259" s="726"/>
      <c r="K259" s="726"/>
      <c r="L259" s="727">
        <v>3</v>
      </c>
      <c r="M259" s="1300">
        <f t="shared" si="100"/>
        <v>0</v>
      </c>
      <c r="N259" s="68"/>
      <c r="O259" s="68"/>
      <c r="P259" s="69"/>
      <c r="Q259" s="1345">
        <f t="shared" si="98"/>
        <v>0</v>
      </c>
      <c r="R259" s="67"/>
      <c r="S259" s="68"/>
      <c r="T259" s="69"/>
      <c r="U259" s="1345">
        <f t="shared" si="99"/>
        <v>0</v>
      </c>
      <c r="V259" s="67"/>
      <c r="W259" s="68"/>
      <c r="X259" s="69"/>
      <c r="Y259" s="1269"/>
    </row>
    <row r="260" spans="1:25" s="1245" customFormat="1" ht="21" customHeight="1" x14ac:dyDescent="0.2">
      <c r="A260" s="2844"/>
      <c r="B260" s="2845"/>
      <c r="C260" s="2807"/>
      <c r="D260" s="3895"/>
      <c r="E260" s="2803"/>
      <c r="F260" s="2530"/>
      <c r="G260" s="2530"/>
      <c r="H260" s="774" t="s">
        <v>32</v>
      </c>
      <c r="I260" s="1238">
        <f t="shared" si="101"/>
        <v>0</v>
      </c>
      <c r="J260" s="734"/>
      <c r="K260" s="734"/>
      <c r="L260" s="735"/>
      <c r="M260" s="1300">
        <f t="shared" si="100"/>
        <v>16.2</v>
      </c>
      <c r="N260" s="1347"/>
      <c r="O260" s="1347"/>
      <c r="P260" s="1349">
        <v>16.2</v>
      </c>
      <c r="Q260" s="1345">
        <f t="shared" si="98"/>
        <v>0</v>
      </c>
      <c r="R260" s="1348"/>
      <c r="S260" s="1347"/>
      <c r="T260" s="1349"/>
      <c r="U260" s="1345">
        <f t="shared" si="99"/>
        <v>0</v>
      </c>
      <c r="V260" s="1348"/>
      <c r="W260" s="1347"/>
      <c r="X260" s="1349"/>
      <c r="Y260" s="1269"/>
    </row>
    <row r="261" spans="1:25" s="1245" customFormat="1" ht="21" customHeight="1" x14ac:dyDescent="0.2">
      <c r="A261" s="2844"/>
      <c r="B261" s="2845"/>
      <c r="C261" s="2807"/>
      <c r="D261" s="3895"/>
      <c r="E261" s="2841" t="s">
        <v>940</v>
      </c>
      <c r="F261" s="2530" t="s">
        <v>1186</v>
      </c>
      <c r="G261" s="2512" t="s">
        <v>1196</v>
      </c>
      <c r="H261" s="774" t="s">
        <v>30</v>
      </c>
      <c r="I261" s="1238">
        <f t="shared" si="101"/>
        <v>61.5</v>
      </c>
      <c r="J261" s="726"/>
      <c r="K261" s="726"/>
      <c r="L261" s="727">
        <v>61.5</v>
      </c>
      <c r="M261" s="1300">
        <f t="shared" si="100"/>
        <v>0</v>
      </c>
      <c r="N261" s="68"/>
      <c r="O261" s="68"/>
      <c r="P261" s="69"/>
      <c r="Q261" s="1345">
        <f t="shared" si="98"/>
        <v>0</v>
      </c>
      <c r="R261" s="67"/>
      <c r="S261" s="68"/>
      <c r="T261" s="69"/>
      <c r="U261" s="1345">
        <f t="shared" si="99"/>
        <v>0</v>
      </c>
      <c r="V261" s="67"/>
      <c r="W261" s="68"/>
      <c r="X261" s="69"/>
      <c r="Y261" s="1269"/>
    </row>
    <row r="262" spans="1:25" s="1245" customFormat="1" ht="21" customHeight="1" thickBot="1" x14ac:dyDescent="0.25">
      <c r="A262" s="2844"/>
      <c r="B262" s="2845"/>
      <c r="C262" s="2807"/>
      <c r="D262" s="3895"/>
      <c r="E262" s="2842"/>
      <c r="F262" s="2530"/>
      <c r="G262" s="2744"/>
      <c r="H262" s="774" t="s">
        <v>32</v>
      </c>
      <c r="I262" s="1240">
        <f t="shared" si="101"/>
        <v>0</v>
      </c>
      <c r="J262" s="1241"/>
      <c r="K262" s="1241"/>
      <c r="L262" s="1242"/>
      <c r="M262" s="1350">
        <f t="shared" si="100"/>
        <v>0</v>
      </c>
      <c r="N262" s="73"/>
      <c r="O262" s="73"/>
      <c r="P262" s="74"/>
      <c r="Q262" s="1345">
        <f t="shared" si="98"/>
        <v>0</v>
      </c>
      <c r="R262" s="72"/>
      <c r="S262" s="73"/>
      <c r="T262" s="74"/>
      <c r="U262" s="1345">
        <f t="shared" si="99"/>
        <v>0</v>
      </c>
      <c r="V262" s="72"/>
      <c r="W262" s="73"/>
      <c r="X262" s="74"/>
      <c r="Y262" s="1269"/>
    </row>
    <row r="263" spans="1:25" s="1245" customFormat="1" ht="21" customHeight="1" thickBot="1" x14ac:dyDescent="0.25">
      <c r="A263" s="2844"/>
      <c r="B263" s="2845"/>
      <c r="C263" s="2807"/>
      <c r="D263" s="3896"/>
      <c r="E263" s="2121"/>
      <c r="F263" s="3788" t="s">
        <v>35</v>
      </c>
      <c r="G263" s="2778"/>
      <c r="H263" s="3790"/>
      <c r="I263" s="83">
        <f>SUM(J263+L263)</f>
        <v>168</v>
      </c>
      <c r="J263" s="84">
        <f>SUM(J250+J251+J253+J255+J257+J259+J261)</f>
        <v>55.599999999999994</v>
      </c>
      <c r="K263" s="84">
        <f t="shared" ref="K263:L263" si="102">SUM(K250+K251+K253+K255+K257+K259+K261)</f>
        <v>0</v>
      </c>
      <c r="L263" s="84">
        <f t="shared" si="102"/>
        <v>112.4</v>
      </c>
      <c r="M263" s="92">
        <f>SUM(N263+P263)</f>
        <v>432</v>
      </c>
      <c r="N263" s="84">
        <f>SUM(N250+N261+N251+N253+N255+N257+N259+N252+N254+N256+N258+N260+N262)</f>
        <v>127</v>
      </c>
      <c r="O263" s="84">
        <f t="shared" ref="O263:P263" si="103">SUM(O250+O261+O251+O253+O255+O257+O259+O252+O254+O256+O258+O260+O262)</f>
        <v>0</v>
      </c>
      <c r="P263" s="84">
        <f t="shared" si="103"/>
        <v>305</v>
      </c>
      <c r="Q263" s="92">
        <f t="shared" ref="Q263" si="104">SUM(R263+T263)</f>
        <v>300</v>
      </c>
      <c r="R263" s="84">
        <f>SUM(R250+R261+R251+R253+R255+R257+R259+R252+R254+R256+R258+R260+R262)</f>
        <v>120</v>
      </c>
      <c r="S263" s="84">
        <f t="shared" ref="S263:T263" si="105">SUM(S250+S261+S251+S253+S255+S257+S259+S252+S254+S256+S258+S260+S262)</f>
        <v>0</v>
      </c>
      <c r="T263" s="84">
        <f t="shared" si="105"/>
        <v>180</v>
      </c>
      <c r="U263" s="92">
        <f t="shared" ref="U263" si="106">SUM(V263+X263)</f>
        <v>300</v>
      </c>
      <c r="V263" s="84">
        <f>SUM(V250+V261+V251+V253+V255+V257+V259+V252+V254+V256+V258+V260+V262)</f>
        <v>120</v>
      </c>
      <c r="W263" s="84">
        <f t="shared" ref="W263:X263" si="107">SUM(W250+W261+W251+W253+W255+W257+W259+W252+W254+W256+W258+W260+W262)</f>
        <v>0</v>
      </c>
      <c r="X263" s="85">
        <f t="shared" si="107"/>
        <v>180</v>
      </c>
      <c r="Y263" s="1269"/>
    </row>
    <row r="264" spans="1:25" s="1245" customFormat="1" ht="21" customHeight="1" thickBot="1" x14ac:dyDescent="0.25">
      <c r="A264" s="2132">
        <v>2</v>
      </c>
      <c r="B264" s="1322">
        <v>2</v>
      </c>
      <c r="C264" s="3870" t="s">
        <v>234</v>
      </c>
      <c r="D264" s="3871"/>
      <c r="E264" s="3877"/>
      <c r="F264" s="3871"/>
      <c r="G264" s="3871"/>
      <c r="H264" s="3872"/>
      <c r="I264" s="1339">
        <f>SUM(J264+L264)</f>
        <v>174.9</v>
      </c>
      <c r="J264" s="1313">
        <f>SUM(J249+J263)</f>
        <v>62.499999999999993</v>
      </c>
      <c r="K264" s="1313">
        <f t="shared" ref="K264:L264" si="108">SUM(K249+K263)</f>
        <v>0</v>
      </c>
      <c r="L264" s="1313">
        <f t="shared" si="108"/>
        <v>112.4</v>
      </c>
      <c r="M264" s="1312">
        <f>SUM(N264+P264)</f>
        <v>439.8</v>
      </c>
      <c r="N264" s="1313">
        <f>SUM(N249+N263)</f>
        <v>134.80000000000001</v>
      </c>
      <c r="O264" s="1313">
        <f t="shared" ref="O264:P264" si="109">SUM(O249+O263)</f>
        <v>0</v>
      </c>
      <c r="P264" s="1313">
        <f t="shared" si="109"/>
        <v>305</v>
      </c>
      <c r="Q264" s="1312">
        <f t="shared" si="98"/>
        <v>307.8</v>
      </c>
      <c r="R264" s="1313">
        <f>SUM(R249+R263)</f>
        <v>127.8</v>
      </c>
      <c r="S264" s="1313">
        <f t="shared" ref="S264:T264" si="110">SUM(S249+S263)</f>
        <v>0</v>
      </c>
      <c r="T264" s="1313">
        <f t="shared" si="110"/>
        <v>180</v>
      </c>
      <c r="U264" s="1312">
        <f t="shared" si="99"/>
        <v>307.8</v>
      </c>
      <c r="V264" s="1313">
        <f>SUM(V249+V263)</f>
        <v>127.8</v>
      </c>
      <c r="W264" s="1313">
        <f t="shared" ref="W264:X264" si="111">SUM(W249+W263)</f>
        <v>0</v>
      </c>
      <c r="X264" s="1324">
        <f t="shared" si="111"/>
        <v>180</v>
      </c>
      <c r="Y264" s="2313"/>
    </row>
    <row r="265" spans="1:25" s="1245" customFormat="1" ht="20.25" customHeight="1" thickBot="1" x14ac:dyDescent="0.25">
      <c r="A265" s="1321">
        <v>2</v>
      </c>
      <c r="B265" s="3902" t="s">
        <v>167</v>
      </c>
      <c r="C265" s="3903"/>
      <c r="D265" s="3903"/>
      <c r="E265" s="3903"/>
      <c r="F265" s="3903"/>
      <c r="G265" s="3903"/>
      <c r="H265" s="3904"/>
      <c r="I265" s="1351">
        <f t="shared" ref="I265:X265" si="112">I246+I264</f>
        <v>213.4</v>
      </c>
      <c r="J265" s="1352">
        <f t="shared" si="112"/>
        <v>101</v>
      </c>
      <c r="K265" s="1352">
        <f t="shared" si="112"/>
        <v>0</v>
      </c>
      <c r="L265" s="1353">
        <f t="shared" si="112"/>
        <v>112.4</v>
      </c>
      <c r="M265" s="1351">
        <f t="shared" si="112"/>
        <v>494.8</v>
      </c>
      <c r="N265" s="1352">
        <f t="shared" si="112"/>
        <v>189.8</v>
      </c>
      <c r="O265" s="1352">
        <f t="shared" si="112"/>
        <v>0</v>
      </c>
      <c r="P265" s="1353">
        <f t="shared" si="112"/>
        <v>305</v>
      </c>
      <c r="Q265" s="1351">
        <f t="shared" si="112"/>
        <v>362.8</v>
      </c>
      <c r="R265" s="1352">
        <f t="shared" si="112"/>
        <v>182.8</v>
      </c>
      <c r="S265" s="1352">
        <f t="shared" si="112"/>
        <v>0</v>
      </c>
      <c r="T265" s="1353">
        <f t="shared" si="112"/>
        <v>180</v>
      </c>
      <c r="U265" s="1351">
        <f t="shared" si="112"/>
        <v>362.8</v>
      </c>
      <c r="V265" s="1352">
        <f t="shared" si="112"/>
        <v>182.8</v>
      </c>
      <c r="W265" s="1352">
        <f t="shared" si="112"/>
        <v>0</v>
      </c>
      <c r="X265" s="1353">
        <f t="shared" si="112"/>
        <v>180</v>
      </c>
    </row>
    <row r="266" spans="1:25" s="1245" customFormat="1" ht="19.5" customHeight="1" thickBot="1" x14ac:dyDescent="0.25">
      <c r="A266" s="1330">
        <v>3</v>
      </c>
      <c r="B266" s="3882" t="s">
        <v>1197</v>
      </c>
      <c r="C266" s="3882"/>
      <c r="D266" s="3882"/>
      <c r="E266" s="3882"/>
      <c r="F266" s="3882"/>
      <c r="G266" s="3882"/>
      <c r="H266" s="3882"/>
      <c r="I266" s="3905"/>
      <c r="J266" s="3905"/>
      <c r="K266" s="3905"/>
      <c r="L266" s="3905"/>
      <c r="M266" s="3905"/>
      <c r="N266" s="3905"/>
      <c r="O266" s="3905"/>
      <c r="P266" s="3905"/>
      <c r="Q266" s="3905"/>
      <c r="R266" s="3905"/>
      <c r="S266" s="3905"/>
      <c r="T266" s="3905"/>
      <c r="U266" s="3905"/>
      <c r="V266" s="3905"/>
      <c r="W266" s="3905"/>
      <c r="X266" s="3905"/>
    </row>
    <row r="267" spans="1:25" s="1245" customFormat="1" ht="21" customHeight="1" thickBot="1" x14ac:dyDescent="0.25">
      <c r="A267" s="1330">
        <v>3</v>
      </c>
      <c r="B267" s="1331">
        <v>1</v>
      </c>
      <c r="C267" s="3883" t="s">
        <v>1198</v>
      </c>
      <c r="D267" s="3883"/>
      <c r="E267" s="3883"/>
      <c r="F267" s="3883"/>
      <c r="G267" s="3883"/>
      <c r="H267" s="3883"/>
      <c r="I267" s="3883"/>
      <c r="J267" s="3883"/>
      <c r="K267" s="3883"/>
      <c r="L267" s="3883"/>
      <c r="M267" s="3883"/>
      <c r="N267" s="3883"/>
      <c r="O267" s="3883"/>
      <c r="P267" s="3883"/>
      <c r="Q267" s="3883"/>
      <c r="R267" s="3883"/>
      <c r="S267" s="3883"/>
      <c r="T267" s="3883"/>
      <c r="U267" s="3883"/>
      <c r="V267" s="3883"/>
      <c r="W267" s="3883"/>
      <c r="X267" s="3883"/>
    </row>
    <row r="268" spans="1:25" ht="21.75" customHeight="1" x14ac:dyDescent="0.2">
      <c r="A268" s="2844">
        <v>3</v>
      </c>
      <c r="B268" s="2845">
        <v>1</v>
      </c>
      <c r="C268" s="2839">
        <v>1</v>
      </c>
      <c r="D268" s="2504" t="s">
        <v>1199</v>
      </c>
      <c r="E268" s="3906">
        <v>2</v>
      </c>
      <c r="F268" s="2531" t="s">
        <v>1200</v>
      </c>
      <c r="G268" s="2531" t="s">
        <v>1201</v>
      </c>
      <c r="H268" s="684" t="s">
        <v>30</v>
      </c>
      <c r="I268" s="1246">
        <f>SUM(J268)</f>
        <v>0</v>
      </c>
      <c r="J268" s="706"/>
      <c r="K268" s="706"/>
      <c r="L268" s="707"/>
      <c r="M268" s="1246">
        <f t="shared" ref="M268:M272" si="113">SUM(N268+P268)</f>
        <v>0</v>
      </c>
      <c r="N268" s="706"/>
      <c r="O268" s="706"/>
      <c r="P268" s="707"/>
      <c r="Q268" s="1246">
        <f t="shared" ref="Q268:Q272" si="114">SUM(R268+T268)</f>
        <v>30</v>
      </c>
      <c r="R268" s="706">
        <v>30</v>
      </c>
      <c r="S268" s="706"/>
      <c r="T268" s="707"/>
      <c r="U268" s="1246">
        <f t="shared" ref="U268:U272" si="115">SUM(V268+X268)</f>
        <v>30</v>
      </c>
      <c r="V268" s="706">
        <v>30</v>
      </c>
      <c r="W268" s="706"/>
      <c r="X268" s="748"/>
    </row>
    <row r="269" spans="1:25" ht="21.75" customHeight="1" thickBot="1" x14ac:dyDescent="0.25">
      <c r="A269" s="2844"/>
      <c r="B269" s="2845"/>
      <c r="C269" s="2846"/>
      <c r="D269" s="2504"/>
      <c r="E269" s="3907"/>
      <c r="F269" s="2510"/>
      <c r="G269" s="2510"/>
      <c r="H269" s="775" t="s">
        <v>681</v>
      </c>
      <c r="I269" s="2235">
        <f>SUM(J269)</f>
        <v>12.7</v>
      </c>
      <c r="J269" s="2233">
        <v>12.7</v>
      </c>
      <c r="K269" s="2233"/>
      <c r="L269" s="2234"/>
      <c r="M269" s="1262">
        <f>N269</f>
        <v>20</v>
      </c>
      <c r="N269" s="731">
        <v>20</v>
      </c>
      <c r="O269" s="731"/>
      <c r="P269" s="730"/>
      <c r="Q269" s="1262">
        <f>SUM(R269)</f>
        <v>20</v>
      </c>
      <c r="R269" s="731">
        <v>20</v>
      </c>
      <c r="S269" s="731"/>
      <c r="T269" s="730"/>
      <c r="U269" s="1262">
        <f>SUM(V269)</f>
        <v>20</v>
      </c>
      <c r="V269" s="731">
        <v>20</v>
      </c>
      <c r="W269" s="731"/>
      <c r="X269" s="657"/>
    </row>
    <row r="270" spans="1:25" s="1245" customFormat="1" ht="21.75" customHeight="1" thickBot="1" x14ac:dyDescent="0.25">
      <c r="A270" s="2844"/>
      <c r="B270" s="2845"/>
      <c r="C270" s="2846"/>
      <c r="D270" s="2505"/>
      <c r="E270" s="3907"/>
      <c r="F270" s="2810" t="s">
        <v>35</v>
      </c>
      <c r="G270" s="2811"/>
      <c r="H270" s="2812"/>
      <c r="I270" s="714">
        <f t="shared" ref="I270:I275" si="116">SUM(J270+L270)</f>
        <v>12.7</v>
      </c>
      <c r="J270" s="711">
        <f>SUM(J268+J269)</f>
        <v>12.7</v>
      </c>
      <c r="K270" s="711">
        <f>SUM(K268+K269)</f>
        <v>0</v>
      </c>
      <c r="L270" s="711">
        <f>SUM(L268+L269)</f>
        <v>0</v>
      </c>
      <c r="M270" s="714">
        <f>SUM(N270+P270)</f>
        <v>20</v>
      </c>
      <c r="N270" s="711">
        <f>SUM(N269:N269,N268)</f>
        <v>20</v>
      </c>
      <c r="O270" s="711">
        <f t="shared" ref="O270:P270" si="117">SUM(O269:O269,O268)</f>
        <v>0</v>
      </c>
      <c r="P270" s="711">
        <f t="shared" si="117"/>
        <v>0</v>
      </c>
      <c r="Q270" s="714">
        <f t="shared" si="114"/>
        <v>50</v>
      </c>
      <c r="R270" s="711">
        <f>SUM(R268+R269)</f>
        <v>50</v>
      </c>
      <c r="S270" s="711">
        <f>SUM(S268+S269)</f>
        <v>0</v>
      </c>
      <c r="T270" s="711">
        <f>SUM(T268+T269)</f>
        <v>0</v>
      </c>
      <c r="U270" s="714">
        <f t="shared" si="115"/>
        <v>50</v>
      </c>
      <c r="V270" s="711">
        <f>SUM(V268+V269)</f>
        <v>50</v>
      </c>
      <c r="W270" s="711">
        <f>SUM(W268+W269)</f>
        <v>0</v>
      </c>
      <c r="X270" s="712">
        <f>SUM(X268+X269)</f>
        <v>0</v>
      </c>
      <c r="Y270" s="2313"/>
    </row>
    <row r="271" spans="1:25" ht="21" customHeight="1" thickBot="1" x14ac:dyDescent="0.25">
      <c r="A271" s="3900">
        <v>3</v>
      </c>
      <c r="B271" s="2850">
        <v>1</v>
      </c>
      <c r="C271" s="2838">
        <v>2</v>
      </c>
      <c r="D271" s="2503" t="s">
        <v>1202</v>
      </c>
      <c r="E271" s="3830">
        <v>9</v>
      </c>
      <c r="F271" s="2109" t="s">
        <v>1200</v>
      </c>
      <c r="G271" s="2109" t="s">
        <v>1203</v>
      </c>
      <c r="H271" s="1354" t="s">
        <v>30</v>
      </c>
      <c r="I271" s="1238">
        <f t="shared" si="116"/>
        <v>7.2</v>
      </c>
      <c r="J271" s="726">
        <v>7.2</v>
      </c>
      <c r="K271" s="726"/>
      <c r="L271" s="728"/>
      <c r="M271" s="1238">
        <f>SUM(N271+P271)</f>
        <v>16</v>
      </c>
      <c r="N271" s="726">
        <v>16</v>
      </c>
      <c r="O271" s="726"/>
      <c r="P271" s="727"/>
      <c r="Q271" s="1238">
        <f>SUM(R271+T271)</f>
        <v>16</v>
      </c>
      <c r="R271" s="726">
        <v>16</v>
      </c>
      <c r="S271" s="726"/>
      <c r="T271" s="727"/>
      <c r="U271" s="1238">
        <f>SUM(V271+X271)</f>
        <v>16</v>
      </c>
      <c r="V271" s="726">
        <v>16</v>
      </c>
      <c r="W271" s="70"/>
      <c r="X271" s="71"/>
    </row>
    <row r="272" spans="1:25" s="1245" customFormat="1" ht="15.6" customHeight="1" thickBot="1" x14ac:dyDescent="0.25">
      <c r="A272" s="3901"/>
      <c r="B272" s="2852"/>
      <c r="C272" s="2839"/>
      <c r="D272" s="2505"/>
      <c r="E272" s="3831"/>
      <c r="F272" s="2810" t="s">
        <v>35</v>
      </c>
      <c r="G272" s="2811"/>
      <c r="H272" s="2812"/>
      <c r="I272" s="714">
        <f t="shared" si="116"/>
        <v>7.2</v>
      </c>
      <c r="J272" s="711">
        <f>SUM(J271:J271)</f>
        <v>7.2</v>
      </c>
      <c r="K272" s="711">
        <f>SUM(K271:K271)</f>
        <v>0</v>
      </c>
      <c r="L272" s="711">
        <f>SUM(L271:L271)</f>
        <v>0</v>
      </c>
      <c r="M272" s="714">
        <f t="shared" si="113"/>
        <v>16</v>
      </c>
      <c r="N272" s="711">
        <f>SUM(N271:N271)</f>
        <v>16</v>
      </c>
      <c r="O272" s="711">
        <f>SUM(O271:O271)</f>
        <v>0</v>
      </c>
      <c r="P272" s="711">
        <f>SUM(P271:P271)</f>
        <v>0</v>
      </c>
      <c r="Q272" s="714">
        <f t="shared" si="114"/>
        <v>16</v>
      </c>
      <c r="R272" s="711">
        <f>SUM(R271:R271)</f>
        <v>16</v>
      </c>
      <c r="S272" s="711">
        <f>SUM(S271:S271)</f>
        <v>0</v>
      </c>
      <c r="T272" s="711">
        <f>SUM(T271:T271)</f>
        <v>0</v>
      </c>
      <c r="U272" s="714">
        <f t="shared" si="115"/>
        <v>16</v>
      </c>
      <c r="V272" s="664">
        <f>SUM(V271:V271)</f>
        <v>16</v>
      </c>
      <c r="W272" s="664">
        <f>SUM(W271:W271)</f>
        <v>0</v>
      </c>
      <c r="X272" s="662">
        <f>SUM(X271:X271)</f>
        <v>0</v>
      </c>
    </row>
    <row r="273" spans="1:24" ht="18" customHeight="1" thickBot="1" x14ac:dyDescent="0.25">
      <c r="A273" s="2891">
        <v>3</v>
      </c>
      <c r="B273" s="2845">
        <v>1</v>
      </c>
      <c r="C273" s="2846">
        <v>3</v>
      </c>
      <c r="D273" s="3829" t="s">
        <v>1204</v>
      </c>
      <c r="E273" s="3874">
        <v>9</v>
      </c>
      <c r="F273" s="2102" t="s">
        <v>1200</v>
      </c>
      <c r="G273" s="2102" t="s">
        <v>1205</v>
      </c>
      <c r="H273" s="1277" t="s">
        <v>30</v>
      </c>
      <c r="I273" s="1238">
        <f t="shared" si="116"/>
        <v>0</v>
      </c>
      <c r="J273" s="726"/>
      <c r="K273" s="726"/>
      <c r="L273" s="727"/>
      <c r="M273" s="1268">
        <f>SUM(N273)</f>
        <v>5</v>
      </c>
      <c r="N273" s="726">
        <v>5</v>
      </c>
      <c r="O273" s="726"/>
      <c r="P273" s="728"/>
      <c r="Q273" s="1238">
        <f>SUM(R273)</f>
        <v>5</v>
      </c>
      <c r="R273" s="726">
        <v>5</v>
      </c>
      <c r="S273" s="726"/>
      <c r="T273" s="728"/>
      <c r="U273" s="1238">
        <f>SUM(V273)</f>
        <v>5</v>
      </c>
      <c r="V273" s="726">
        <v>5</v>
      </c>
      <c r="W273" s="70"/>
      <c r="X273" s="71"/>
    </row>
    <row r="274" spans="1:24" s="1245" customFormat="1" ht="18" customHeight="1" thickBot="1" x14ac:dyDescent="0.25">
      <c r="A274" s="2891"/>
      <c r="B274" s="2845"/>
      <c r="C274" s="2846"/>
      <c r="D274" s="3829"/>
      <c r="E274" s="3874"/>
      <c r="F274" s="2810" t="s">
        <v>35</v>
      </c>
      <c r="G274" s="2811"/>
      <c r="H274" s="2812"/>
      <c r="I274" s="714">
        <f t="shared" si="116"/>
        <v>0</v>
      </c>
      <c r="J274" s="711">
        <f>SUM(J273)</f>
        <v>0</v>
      </c>
      <c r="K274" s="711">
        <f>SUM(K273)</f>
        <v>0</v>
      </c>
      <c r="L274" s="712">
        <f>SUM(L273)</f>
        <v>0</v>
      </c>
      <c r="M274" s="714">
        <f t="shared" ref="M274:M277" si="118">SUM(N274+P274)</f>
        <v>5</v>
      </c>
      <c r="N274" s="711">
        <f>SUM(N273)</f>
        <v>5</v>
      </c>
      <c r="O274" s="711">
        <f>SUM(O273)</f>
        <v>0</v>
      </c>
      <c r="P274" s="712">
        <f>SUM(P273)</f>
        <v>0</v>
      </c>
      <c r="Q274" s="714">
        <f>SUM(R274+T274)</f>
        <v>5</v>
      </c>
      <c r="R274" s="711">
        <f>SUM(R273)</f>
        <v>5</v>
      </c>
      <c r="S274" s="711">
        <f>SUM(S273)</f>
        <v>0</v>
      </c>
      <c r="T274" s="712">
        <f>SUM(T273)</f>
        <v>0</v>
      </c>
      <c r="U274" s="714">
        <f>SUM(V274+X274)</f>
        <v>5</v>
      </c>
      <c r="V274" s="664">
        <f>SUM(V273)</f>
        <v>5</v>
      </c>
      <c r="W274" s="664">
        <f>SUM(W273)</f>
        <v>0</v>
      </c>
      <c r="X274" s="662">
        <f>SUM(X273)</f>
        <v>0</v>
      </c>
    </row>
    <row r="275" spans="1:24" s="1245" customFormat="1" ht="21" customHeight="1" thickBot="1" x14ac:dyDescent="0.25">
      <c r="A275" s="2534">
        <v>3</v>
      </c>
      <c r="B275" s="2851">
        <v>1</v>
      </c>
      <c r="C275" s="2493">
        <v>4</v>
      </c>
      <c r="D275" s="2496" t="s">
        <v>1206</v>
      </c>
      <c r="E275" s="3857">
        <v>9</v>
      </c>
      <c r="F275" s="2097" t="s">
        <v>983</v>
      </c>
      <c r="G275" s="2098" t="s">
        <v>1207</v>
      </c>
      <c r="H275" s="2212" t="s">
        <v>30</v>
      </c>
      <c r="I275" s="1238">
        <f t="shared" si="116"/>
        <v>14.2</v>
      </c>
      <c r="J275" s="726"/>
      <c r="K275" s="726"/>
      <c r="L275" s="728">
        <v>14.2</v>
      </c>
      <c r="M275" s="1355">
        <f>SUM(N275+P275)</f>
        <v>200</v>
      </c>
      <c r="N275" s="726"/>
      <c r="O275" s="726"/>
      <c r="P275" s="727">
        <v>200</v>
      </c>
      <c r="Q275" s="1268">
        <f>SUM(R275+T275)</f>
        <v>200</v>
      </c>
      <c r="R275" s="726"/>
      <c r="S275" s="726"/>
      <c r="T275" s="727">
        <v>200</v>
      </c>
      <c r="U275" s="1238">
        <f>SUM(V275+X275)</f>
        <v>100</v>
      </c>
      <c r="V275" s="70"/>
      <c r="W275" s="70"/>
      <c r="X275" s="71">
        <v>100</v>
      </c>
    </row>
    <row r="276" spans="1:24" s="1245" customFormat="1" ht="21" customHeight="1" thickBot="1" x14ac:dyDescent="0.25">
      <c r="A276" s="2536"/>
      <c r="B276" s="2852"/>
      <c r="C276" s="3160"/>
      <c r="D276" s="3908"/>
      <c r="E276" s="3909"/>
      <c r="F276" s="2810" t="s">
        <v>35</v>
      </c>
      <c r="G276" s="2811"/>
      <c r="H276" s="2812"/>
      <c r="I276" s="663">
        <f>SUM(J276+L276)</f>
        <v>14.2</v>
      </c>
      <c r="J276" s="664">
        <f>SUM(J275:J275)</f>
        <v>0</v>
      </c>
      <c r="K276" s="664">
        <f>SUM(K275:K275)</f>
        <v>0</v>
      </c>
      <c r="L276" s="664">
        <f>SUM(L275:L275)</f>
        <v>14.2</v>
      </c>
      <c r="M276" s="1280">
        <f t="shared" si="118"/>
        <v>200</v>
      </c>
      <c r="N276" s="664">
        <f>SUM(N275)</f>
        <v>0</v>
      </c>
      <c r="O276" s="664">
        <f>SUM(O275)</f>
        <v>0</v>
      </c>
      <c r="P276" s="664">
        <f>SUM(P275)</f>
        <v>200</v>
      </c>
      <c r="Q276" s="663">
        <f>SUM(R276+T276)</f>
        <v>200</v>
      </c>
      <c r="R276" s="664">
        <f>SUM(R275)</f>
        <v>0</v>
      </c>
      <c r="S276" s="664">
        <f>SUM(S275)</f>
        <v>0</v>
      </c>
      <c r="T276" s="664">
        <f>SUM(T275)</f>
        <v>200</v>
      </c>
      <c r="U276" s="663">
        <f>SUM(V276+X276)</f>
        <v>100</v>
      </c>
      <c r="V276" s="664">
        <f>SUM(V275)</f>
        <v>0</v>
      </c>
      <c r="W276" s="664">
        <f>SUM(W275)</f>
        <v>0</v>
      </c>
      <c r="X276" s="662">
        <f>SUM(X275)</f>
        <v>100</v>
      </c>
    </row>
    <row r="277" spans="1:24" s="1245" customFormat="1" ht="16.5" customHeight="1" thickBot="1" x14ac:dyDescent="0.25">
      <c r="A277" s="2132">
        <v>3</v>
      </c>
      <c r="B277" s="2136">
        <v>1</v>
      </c>
      <c r="C277" s="3876" t="s">
        <v>234</v>
      </c>
      <c r="D277" s="3877"/>
      <c r="E277" s="3877"/>
      <c r="F277" s="3877"/>
      <c r="G277" s="3877"/>
      <c r="H277" s="3878"/>
      <c r="I277" s="1339">
        <f>L277+J277</f>
        <v>34.099999999999994</v>
      </c>
      <c r="J277" s="1313">
        <f>J270+J272+J274+J276</f>
        <v>19.899999999999999</v>
      </c>
      <c r="K277" s="1313">
        <f>K270+K272+K274+K276</f>
        <v>0</v>
      </c>
      <c r="L277" s="1313">
        <f>L270+L272+L274+L276</f>
        <v>14.2</v>
      </c>
      <c r="M277" s="697">
        <f t="shared" si="118"/>
        <v>241</v>
      </c>
      <c r="N277" s="1313">
        <f>N270+N272+N274+N276</f>
        <v>41</v>
      </c>
      <c r="O277" s="1313">
        <f>O270+O272+O274+O276</f>
        <v>0</v>
      </c>
      <c r="P277" s="1313">
        <f>P270+P272+P274+P276</f>
        <v>200</v>
      </c>
      <c r="Q277" s="1312">
        <f>SUM(R277+T277)</f>
        <v>271</v>
      </c>
      <c r="R277" s="1313">
        <f>R270+R272+R274+R276</f>
        <v>71</v>
      </c>
      <c r="S277" s="1313">
        <f>S270+S272+S274+S276</f>
        <v>0</v>
      </c>
      <c r="T277" s="1313">
        <f>T270+T272+T274+T276</f>
        <v>200</v>
      </c>
      <c r="U277" s="1312">
        <f>SUM(V277+X277)</f>
        <v>171</v>
      </c>
      <c r="V277" s="1313">
        <f>V270+V272+V274+V276</f>
        <v>71</v>
      </c>
      <c r="W277" s="1313">
        <f>W270+W272+W274+W276</f>
        <v>0</v>
      </c>
      <c r="X277" s="1324">
        <f>X270+X272+X274+X276</f>
        <v>100</v>
      </c>
    </row>
    <row r="278" spans="1:24" s="1245" customFormat="1" ht="12" thickBot="1" x14ac:dyDescent="0.25">
      <c r="A278" s="2138">
        <v>3</v>
      </c>
      <c r="B278" s="768">
        <v>2</v>
      </c>
      <c r="C278" s="3911" t="s">
        <v>1208</v>
      </c>
      <c r="D278" s="3911"/>
      <c r="E278" s="3911"/>
      <c r="F278" s="3912"/>
      <c r="G278" s="3912"/>
      <c r="H278" s="3911"/>
      <c r="I278" s="3778"/>
      <c r="J278" s="3778"/>
      <c r="K278" s="3778"/>
      <c r="L278" s="3778"/>
      <c r="M278" s="3778"/>
      <c r="N278" s="3778"/>
      <c r="O278" s="3778"/>
      <c r="P278" s="3778"/>
      <c r="Q278" s="3778"/>
      <c r="R278" s="3778"/>
      <c r="S278" s="3778"/>
      <c r="T278" s="3778"/>
      <c r="U278" s="3778"/>
      <c r="V278" s="3778"/>
      <c r="W278" s="3778"/>
      <c r="X278" s="3778"/>
    </row>
    <row r="279" spans="1:24" s="1356" customFormat="1" ht="24" customHeight="1" x14ac:dyDescent="0.2">
      <c r="A279" s="2844">
        <v>3</v>
      </c>
      <c r="B279" s="2845">
        <v>2</v>
      </c>
      <c r="C279" s="3806">
        <v>1</v>
      </c>
      <c r="D279" s="3913" t="s">
        <v>1209</v>
      </c>
      <c r="E279" s="3910">
        <v>9</v>
      </c>
      <c r="F279" s="3914" t="s">
        <v>983</v>
      </c>
      <c r="G279" s="3914" t="s">
        <v>1210</v>
      </c>
      <c r="H279" s="1297" t="s">
        <v>30</v>
      </c>
      <c r="I279" s="1238">
        <f>SUM(L279)</f>
        <v>0</v>
      </c>
      <c r="J279" s="726"/>
      <c r="K279" s="726"/>
      <c r="L279" s="728"/>
      <c r="M279" s="1238">
        <f>SUM(N279+P279)</f>
        <v>100</v>
      </c>
      <c r="N279" s="726"/>
      <c r="O279" s="726"/>
      <c r="P279" s="727">
        <v>100</v>
      </c>
      <c r="Q279" s="1238">
        <f>SUM(R279+T279)</f>
        <v>1387.7</v>
      </c>
      <c r="R279" s="726"/>
      <c r="S279" s="726"/>
      <c r="T279" s="728">
        <v>1387.7</v>
      </c>
      <c r="U279" s="1238">
        <f>SUM(V279+X279)</f>
        <v>0</v>
      </c>
      <c r="V279" s="726"/>
      <c r="W279" s="726"/>
      <c r="X279" s="727"/>
    </row>
    <row r="280" spans="1:24" s="1356" customFormat="1" ht="24" customHeight="1" thickBot="1" x14ac:dyDescent="0.25">
      <c r="A280" s="2844"/>
      <c r="B280" s="2845"/>
      <c r="C280" s="3806"/>
      <c r="D280" s="2496"/>
      <c r="E280" s="3910"/>
      <c r="F280" s="3914"/>
      <c r="G280" s="3914"/>
      <c r="H280" s="1287" t="s">
        <v>116</v>
      </c>
      <c r="I280" s="1238">
        <f>SUM(L280)</f>
        <v>0</v>
      </c>
      <c r="J280" s="731"/>
      <c r="K280" s="731"/>
      <c r="L280" s="730"/>
      <c r="M280" s="1238">
        <f>SUM(N280+P280)</f>
        <v>400</v>
      </c>
      <c r="N280" s="731"/>
      <c r="O280" s="731"/>
      <c r="P280" s="1940">
        <v>400</v>
      </c>
      <c r="Q280" s="1238">
        <v>912.3</v>
      </c>
      <c r="R280" s="731"/>
      <c r="S280" s="731"/>
      <c r="T280" s="730">
        <v>912.3</v>
      </c>
      <c r="U280" s="1238">
        <f>SUM(V280+X280)</f>
        <v>0</v>
      </c>
      <c r="V280" s="731"/>
      <c r="W280" s="731"/>
      <c r="X280" s="656"/>
    </row>
    <row r="281" spans="1:24" s="1245" customFormat="1" ht="25.35" customHeight="1" thickBot="1" x14ac:dyDescent="0.25">
      <c r="A281" s="2844"/>
      <c r="B281" s="2845"/>
      <c r="C281" s="3806"/>
      <c r="D281" s="2497"/>
      <c r="E281" s="3910"/>
      <c r="F281" s="3915" t="s">
        <v>35</v>
      </c>
      <c r="G281" s="3916"/>
      <c r="H281" s="2812"/>
      <c r="I281" s="663">
        <f>SUM(J281+L281)</f>
        <v>0</v>
      </c>
      <c r="J281" s="664">
        <f>SUM(J279)</f>
        <v>0</v>
      </c>
      <c r="K281" s="664">
        <f t="shared" ref="K281:L281" si="119">SUM(K279)</f>
        <v>0</v>
      </c>
      <c r="L281" s="664">
        <f t="shared" si="119"/>
        <v>0</v>
      </c>
      <c r="M281" s="663">
        <f>SUM(N281+P281)</f>
        <v>500</v>
      </c>
      <c r="N281" s="664">
        <f>SUM(N279)</f>
        <v>0</v>
      </c>
      <c r="O281" s="664">
        <f t="shared" ref="O281" si="120">SUM(O279)</f>
        <v>0</v>
      </c>
      <c r="P281" s="664">
        <f>SUM(P279+P280)</f>
        <v>500</v>
      </c>
      <c r="Q281" s="663">
        <f t="shared" ref="Q281:Q294" si="121">SUM(R281+T281)</f>
        <v>2300</v>
      </c>
      <c r="R281" s="664">
        <f>SUM(R279)</f>
        <v>0</v>
      </c>
      <c r="S281" s="664">
        <f t="shared" ref="S281" si="122">SUM(S279)</f>
        <v>0</v>
      </c>
      <c r="T281" s="664">
        <f>SUM(T279+T280)</f>
        <v>2300</v>
      </c>
      <c r="U281" s="663">
        <f>SUM(V281+X281)</f>
        <v>0</v>
      </c>
      <c r="V281" s="664">
        <f>SUM(V279)</f>
        <v>0</v>
      </c>
      <c r="W281" s="664">
        <f t="shared" ref="W281:X281" si="123">SUM(W279)</f>
        <v>0</v>
      </c>
      <c r="X281" s="662">
        <f t="shared" si="123"/>
        <v>0</v>
      </c>
    </row>
    <row r="282" spans="1:24" s="1245" customFormat="1" ht="38.25" customHeight="1" thickBot="1" x14ac:dyDescent="0.25">
      <c r="A282" s="2844">
        <v>3</v>
      </c>
      <c r="B282" s="2845">
        <v>2</v>
      </c>
      <c r="C282" s="3806">
        <v>2</v>
      </c>
      <c r="D282" s="2726" t="s">
        <v>1211</v>
      </c>
      <c r="E282" s="3910">
        <v>9</v>
      </c>
      <c r="F282" s="2206" t="s">
        <v>983</v>
      </c>
      <c r="G282" s="2206" t="s">
        <v>1212</v>
      </c>
      <c r="H282" s="2207" t="s">
        <v>30</v>
      </c>
      <c r="I282" s="1238">
        <f>SUM(J282+L282)</f>
        <v>24</v>
      </c>
      <c r="J282" s="726"/>
      <c r="K282" s="726"/>
      <c r="L282" s="728">
        <v>24</v>
      </c>
      <c r="M282" s="1238">
        <f>SUM(N282+P282)</f>
        <v>30</v>
      </c>
      <c r="N282" s="726"/>
      <c r="O282" s="726"/>
      <c r="P282" s="727">
        <v>30</v>
      </c>
      <c r="Q282" s="1268">
        <f t="shared" si="121"/>
        <v>30</v>
      </c>
      <c r="R282" s="726"/>
      <c r="S282" s="726"/>
      <c r="T282" s="728">
        <v>30</v>
      </c>
      <c r="U282" s="1238">
        <f>SUM(V282+X282)</f>
        <v>30</v>
      </c>
      <c r="V282" s="726"/>
      <c r="W282" s="726"/>
      <c r="X282" s="1239">
        <v>30</v>
      </c>
    </row>
    <row r="283" spans="1:24" s="1245" customFormat="1" ht="30" customHeight="1" thickBot="1" x14ac:dyDescent="0.25">
      <c r="A283" s="2844"/>
      <c r="B283" s="2845"/>
      <c r="C283" s="3806"/>
      <c r="D283" s="2726"/>
      <c r="E283" s="3910"/>
      <c r="F283" s="2817" t="s">
        <v>35</v>
      </c>
      <c r="G283" s="2818"/>
      <c r="H283" s="2819"/>
      <c r="I283" s="1341">
        <f>SUM(J283+L283)</f>
        <v>24</v>
      </c>
      <c r="J283" s="1342">
        <f>SUM(J282)</f>
        <v>0</v>
      </c>
      <c r="K283" s="1342">
        <f>SUM(K282)</f>
        <v>0</v>
      </c>
      <c r="L283" s="1343">
        <f>SUM(L282)</f>
        <v>24</v>
      </c>
      <c r="M283" s="1341">
        <f>SUM(N283+P283)</f>
        <v>30</v>
      </c>
      <c r="N283" s="1342">
        <f>SUM(N282)</f>
        <v>0</v>
      </c>
      <c r="O283" s="1342">
        <f>SUM(O282)</f>
        <v>0</v>
      </c>
      <c r="P283" s="1343">
        <f>SUM(P282)</f>
        <v>30</v>
      </c>
      <c r="Q283" s="1341">
        <f t="shared" si="121"/>
        <v>30</v>
      </c>
      <c r="R283" s="1342">
        <f>SUM(R282)</f>
        <v>0</v>
      </c>
      <c r="S283" s="1342">
        <f>SUM(S282)</f>
        <v>0</v>
      </c>
      <c r="T283" s="1357">
        <f>SUM(T282)</f>
        <v>30</v>
      </c>
      <c r="U283" s="681">
        <f>SUM(V283+X283)</f>
        <v>30</v>
      </c>
      <c r="V283" s="1358">
        <f>SUM(V282)</f>
        <v>0</v>
      </c>
      <c r="W283" s="1358">
        <f>SUM(W282)</f>
        <v>0</v>
      </c>
      <c r="X283" s="1357">
        <f>SUM(X282)</f>
        <v>30</v>
      </c>
    </row>
    <row r="284" spans="1:24" s="1245" customFormat="1" ht="17.25" customHeight="1" x14ac:dyDescent="0.2">
      <c r="A284" s="2844">
        <v>3</v>
      </c>
      <c r="B284" s="2845">
        <v>2</v>
      </c>
      <c r="C284" s="3824">
        <v>3</v>
      </c>
      <c r="D284" s="3829" t="s">
        <v>1213</v>
      </c>
      <c r="E284" s="3928">
        <v>9</v>
      </c>
      <c r="F284" s="3929" t="s">
        <v>983</v>
      </c>
      <c r="G284" s="3917" t="s">
        <v>1214</v>
      </c>
      <c r="H284" s="2208" t="s">
        <v>30</v>
      </c>
      <c r="I284" s="1235">
        <f>SUM(J284)</f>
        <v>0</v>
      </c>
      <c r="J284" s="718"/>
      <c r="K284" s="718"/>
      <c r="L284" s="717"/>
      <c r="M284" s="1359">
        <f t="shared" ref="M284:M294" si="124">SUM(N284+P284)</f>
        <v>50</v>
      </c>
      <c r="N284" s="1944">
        <f>50</f>
        <v>50</v>
      </c>
      <c r="O284" s="718"/>
      <c r="P284" s="717"/>
      <c r="Q284" s="1359">
        <f t="shared" si="121"/>
        <v>50</v>
      </c>
      <c r="R284" s="718">
        <v>50</v>
      </c>
      <c r="S284" s="718"/>
      <c r="T284" s="717"/>
      <c r="U284" s="1359">
        <f t="shared" ref="U284:U294" si="125">SUM(V284+X284)</f>
        <v>50</v>
      </c>
      <c r="V284" s="718">
        <v>50</v>
      </c>
      <c r="W284" s="66"/>
      <c r="X284" s="56"/>
    </row>
    <row r="285" spans="1:24" s="1245" customFormat="1" ht="17.25" customHeight="1" x14ac:dyDescent="0.2">
      <c r="A285" s="2844"/>
      <c r="B285" s="2845"/>
      <c r="C285" s="3824"/>
      <c r="D285" s="3829"/>
      <c r="E285" s="3928"/>
      <c r="F285" s="3930"/>
      <c r="G285" s="3858"/>
      <c r="H285" s="2201" t="s">
        <v>34</v>
      </c>
      <c r="I285" s="1238">
        <f>SUM(J285)</f>
        <v>9.8000000000000007</v>
      </c>
      <c r="J285" s="726">
        <v>9.8000000000000007</v>
      </c>
      <c r="K285" s="726"/>
      <c r="L285" s="728"/>
      <c r="M285" s="1360">
        <f t="shared" si="124"/>
        <v>50</v>
      </c>
      <c r="N285" s="1945">
        <v>50</v>
      </c>
      <c r="O285" s="726"/>
      <c r="P285" s="728"/>
      <c r="Q285" s="1360">
        <f t="shared" si="121"/>
        <v>50</v>
      </c>
      <c r="R285" s="726">
        <v>50</v>
      </c>
      <c r="S285" s="726"/>
      <c r="T285" s="728"/>
      <c r="U285" s="1360">
        <f t="shared" si="125"/>
        <v>50</v>
      </c>
      <c r="V285" s="726">
        <v>50</v>
      </c>
      <c r="W285" s="70"/>
      <c r="X285" s="71"/>
    </row>
    <row r="286" spans="1:24" s="1245" customFormat="1" ht="17.25" customHeight="1" thickBot="1" x14ac:dyDescent="0.25">
      <c r="A286" s="2844"/>
      <c r="B286" s="2845"/>
      <c r="C286" s="3824"/>
      <c r="D286" s="3829"/>
      <c r="E286" s="3928"/>
      <c r="F286" s="3931"/>
      <c r="G286" s="3875"/>
      <c r="H286" s="2202" t="s">
        <v>586</v>
      </c>
      <c r="I286" s="1240">
        <f>SUM(J286)</f>
        <v>21.7</v>
      </c>
      <c r="J286" s="1241">
        <v>21.7</v>
      </c>
      <c r="K286" s="1241"/>
      <c r="L286" s="1361"/>
      <c r="M286" s="1362">
        <f t="shared" si="124"/>
        <v>53.9</v>
      </c>
      <c r="N286" s="1946">
        <v>53.9</v>
      </c>
      <c r="O286" s="1241"/>
      <c r="P286" s="1361"/>
      <c r="Q286" s="1362">
        <f t="shared" si="121"/>
        <v>0</v>
      </c>
      <c r="R286" s="1241"/>
      <c r="S286" s="1241"/>
      <c r="T286" s="1361"/>
      <c r="U286" s="1362">
        <f t="shared" si="125"/>
        <v>0</v>
      </c>
      <c r="V286" s="1241"/>
      <c r="W286" s="75"/>
      <c r="X286" s="76"/>
    </row>
    <row r="287" spans="1:24" s="1245" customFormat="1" ht="26.45" customHeight="1" thickBot="1" x14ac:dyDescent="0.25">
      <c r="A287" s="2844"/>
      <c r="B287" s="2845"/>
      <c r="C287" s="3824"/>
      <c r="D287" s="3829"/>
      <c r="E287" s="3928"/>
      <c r="F287" s="3918" t="s">
        <v>35</v>
      </c>
      <c r="G287" s="3919"/>
      <c r="H287" s="3920"/>
      <c r="I287" s="1280">
        <f>SUM(J287+L287)</f>
        <v>31.5</v>
      </c>
      <c r="J287" s="686">
        <f>SUM(J284+J285+J286)</f>
        <v>31.5</v>
      </c>
      <c r="K287" s="686">
        <f t="shared" ref="K287:L287" si="126">SUM(K284)</f>
        <v>0</v>
      </c>
      <c r="L287" s="686">
        <f t="shared" si="126"/>
        <v>0</v>
      </c>
      <c r="M287" s="1280">
        <f t="shared" si="124"/>
        <v>153.9</v>
      </c>
      <c r="N287" s="686">
        <f>SUM(N284+N285+N286)</f>
        <v>153.9</v>
      </c>
      <c r="O287" s="686">
        <f t="shared" ref="O287:P287" si="127">SUM(O284)</f>
        <v>0</v>
      </c>
      <c r="P287" s="686">
        <f t="shared" si="127"/>
        <v>0</v>
      </c>
      <c r="Q287" s="1280">
        <f t="shared" si="121"/>
        <v>100</v>
      </c>
      <c r="R287" s="686">
        <f>SUM(R284+R285+R286)</f>
        <v>100</v>
      </c>
      <c r="S287" s="686">
        <f t="shared" ref="S287:T287" si="128">SUM(S284)</f>
        <v>0</v>
      </c>
      <c r="T287" s="686">
        <f t="shared" si="128"/>
        <v>0</v>
      </c>
      <c r="U287" s="663">
        <f t="shared" si="125"/>
        <v>100</v>
      </c>
      <c r="V287" s="664">
        <f>SUM(V284+V285+V286)</f>
        <v>100</v>
      </c>
      <c r="W287" s="664">
        <f t="shared" ref="W287:X287" si="129">SUM(W284)</f>
        <v>0</v>
      </c>
      <c r="X287" s="662">
        <f t="shared" si="129"/>
        <v>0</v>
      </c>
    </row>
    <row r="288" spans="1:24" s="1245" customFormat="1" ht="17.25" customHeight="1" thickBot="1" x14ac:dyDescent="0.25">
      <c r="A288" s="2844">
        <v>3</v>
      </c>
      <c r="B288" s="2845">
        <v>2</v>
      </c>
      <c r="C288" s="3824">
        <v>4</v>
      </c>
      <c r="D288" s="3829" t="s">
        <v>1215</v>
      </c>
      <c r="E288" s="2201" t="s">
        <v>341</v>
      </c>
      <c r="F288" s="3921" t="s">
        <v>983</v>
      </c>
      <c r="G288" s="3923" t="s">
        <v>1216</v>
      </c>
      <c r="H288" s="3925" t="s">
        <v>30</v>
      </c>
      <c r="I288" s="1235">
        <f>SUM(J288)</f>
        <v>52.6</v>
      </c>
      <c r="J288" s="718">
        <v>52.6</v>
      </c>
      <c r="K288" s="718"/>
      <c r="L288" s="720"/>
      <c r="M288" s="1359">
        <f t="shared" si="124"/>
        <v>60</v>
      </c>
      <c r="N288" s="718">
        <v>60</v>
      </c>
      <c r="O288" s="718"/>
      <c r="P288" s="1939"/>
      <c r="Q288" s="1360">
        <f t="shared" si="121"/>
        <v>60</v>
      </c>
      <c r="R288" s="1241">
        <v>60</v>
      </c>
      <c r="S288" s="1241"/>
      <c r="T288" s="1361"/>
      <c r="U288" s="1359">
        <f t="shared" si="125"/>
        <v>60</v>
      </c>
      <c r="V288" s="66">
        <v>60</v>
      </c>
      <c r="W288" s="66"/>
      <c r="X288" s="56"/>
    </row>
    <row r="289" spans="1:25" s="1245" customFormat="1" ht="17.25" customHeight="1" thickBot="1" x14ac:dyDescent="0.25">
      <c r="A289" s="2844"/>
      <c r="B289" s="2845"/>
      <c r="C289" s="3824"/>
      <c r="D289" s="3829"/>
      <c r="E289" s="2201">
        <v>9</v>
      </c>
      <c r="F289" s="3922"/>
      <c r="G289" s="3924"/>
      <c r="H289" s="3926"/>
      <c r="I289" s="1246">
        <f>SUM(J289)</f>
        <v>0</v>
      </c>
      <c r="J289" s="2233"/>
      <c r="K289" s="2233"/>
      <c r="L289" s="86"/>
      <c r="M289" s="1299">
        <f t="shared" si="124"/>
        <v>58</v>
      </c>
      <c r="N289" s="731"/>
      <c r="O289" s="731"/>
      <c r="P289" s="1940">
        <v>58</v>
      </c>
      <c r="Q289" s="1365"/>
      <c r="R289" s="2233"/>
      <c r="S289" s="2233"/>
      <c r="T289" s="86"/>
      <c r="U289" s="1299">
        <f t="shared" si="125"/>
        <v>0</v>
      </c>
      <c r="V289" s="1377"/>
      <c r="W289" s="1377"/>
      <c r="X289" s="57"/>
    </row>
    <row r="290" spans="1:25" s="1245" customFormat="1" ht="17.25" customHeight="1" thickBot="1" x14ac:dyDescent="0.25">
      <c r="A290" s="2844"/>
      <c r="B290" s="2845"/>
      <c r="C290" s="3824"/>
      <c r="D290" s="3829"/>
      <c r="E290" s="2201"/>
      <c r="F290" s="3915" t="s">
        <v>35</v>
      </c>
      <c r="G290" s="3916"/>
      <c r="H290" s="3927"/>
      <c r="I290" s="663">
        <f>SUM(J290+L290)</f>
        <v>52.6</v>
      </c>
      <c r="J290" s="664">
        <f>J288+J289</f>
        <v>52.6</v>
      </c>
      <c r="K290" s="664">
        <f t="shared" ref="K290:L290" si="130">K288+K289</f>
        <v>0</v>
      </c>
      <c r="L290" s="664">
        <f t="shared" si="130"/>
        <v>0</v>
      </c>
      <c r="M290" s="663">
        <f t="shared" si="124"/>
        <v>118</v>
      </c>
      <c r="N290" s="664">
        <f>N288+N289</f>
        <v>60</v>
      </c>
      <c r="O290" s="664">
        <f t="shared" ref="O290:P290" si="131">O288+O289</f>
        <v>0</v>
      </c>
      <c r="P290" s="664">
        <f t="shared" si="131"/>
        <v>58</v>
      </c>
      <c r="Q290" s="663">
        <f t="shared" si="121"/>
        <v>60</v>
      </c>
      <c r="R290" s="664">
        <f>R288</f>
        <v>60</v>
      </c>
      <c r="S290" s="664">
        <f>S288</f>
        <v>0</v>
      </c>
      <c r="T290" s="664">
        <f>T288</f>
        <v>0</v>
      </c>
      <c r="U290" s="663">
        <f t="shared" si="125"/>
        <v>60</v>
      </c>
      <c r="V290" s="664">
        <f>V288</f>
        <v>60</v>
      </c>
      <c r="W290" s="664">
        <f>W288</f>
        <v>0</v>
      </c>
      <c r="X290" s="662">
        <f>X288</f>
        <v>0</v>
      </c>
    </row>
    <row r="291" spans="1:25" s="1245" customFormat="1" ht="17.25" hidden="1" customHeight="1" thickBot="1" x14ac:dyDescent="0.25">
      <c r="A291" s="2844">
        <v>3</v>
      </c>
      <c r="B291" s="2845">
        <v>2</v>
      </c>
      <c r="C291" s="3824">
        <v>5</v>
      </c>
      <c r="D291" s="2726" t="s">
        <v>1217</v>
      </c>
      <c r="E291" s="3824" t="s">
        <v>341</v>
      </c>
      <c r="F291" s="1363" t="s">
        <v>983</v>
      </c>
      <c r="G291" s="1366" t="s">
        <v>1218</v>
      </c>
      <c r="H291" s="2207" t="s">
        <v>30</v>
      </c>
      <c r="I291" s="1367">
        <f>SUM(L291)</f>
        <v>0</v>
      </c>
      <c r="J291" s="1241"/>
      <c r="K291" s="1241"/>
      <c r="L291" s="1361"/>
      <c r="M291" s="384">
        <f t="shared" si="124"/>
        <v>0</v>
      </c>
      <c r="N291" s="762"/>
      <c r="O291" s="762"/>
      <c r="P291" s="763"/>
      <c r="Q291" s="2122">
        <f t="shared" si="121"/>
        <v>0</v>
      </c>
      <c r="R291" s="75"/>
      <c r="S291" s="75"/>
      <c r="T291" s="669"/>
      <c r="U291" s="2122">
        <f t="shared" si="125"/>
        <v>0</v>
      </c>
      <c r="V291" s="75"/>
      <c r="W291" s="75"/>
      <c r="X291" s="76"/>
    </row>
    <row r="292" spans="1:25" s="1245" customFormat="1" ht="17.25" hidden="1" customHeight="1" thickBot="1" x14ac:dyDescent="0.25">
      <c r="A292" s="2844"/>
      <c r="B292" s="2845"/>
      <c r="C292" s="3824"/>
      <c r="D292" s="2726"/>
      <c r="E292" s="3928"/>
      <c r="F292" s="2810" t="s">
        <v>35</v>
      </c>
      <c r="G292" s="2811"/>
      <c r="H292" s="2812"/>
      <c r="I292" s="663">
        <f>SUM(J292+L292)</f>
        <v>0</v>
      </c>
      <c r="J292" s="664">
        <f>J291</f>
        <v>0</v>
      </c>
      <c r="K292" s="664">
        <f>K291</f>
        <v>0</v>
      </c>
      <c r="L292" s="664">
        <f>L291</f>
        <v>0</v>
      </c>
      <c r="M292" s="663">
        <f t="shared" si="124"/>
        <v>0</v>
      </c>
      <c r="N292" s="664">
        <f>N291</f>
        <v>0</v>
      </c>
      <c r="O292" s="664">
        <f>O291</f>
        <v>0</v>
      </c>
      <c r="P292" s="664">
        <f>P291</f>
        <v>0</v>
      </c>
      <c r="Q292" s="663">
        <f t="shared" si="121"/>
        <v>0</v>
      </c>
      <c r="R292" s="664">
        <f>R291</f>
        <v>0</v>
      </c>
      <c r="S292" s="664">
        <f>S291</f>
        <v>0</v>
      </c>
      <c r="T292" s="664">
        <f>T291</f>
        <v>0</v>
      </c>
      <c r="U292" s="663">
        <f t="shared" si="125"/>
        <v>0</v>
      </c>
      <c r="V292" s="664">
        <f>V291</f>
        <v>0</v>
      </c>
      <c r="W292" s="664">
        <f>W291</f>
        <v>0</v>
      </c>
      <c r="X292" s="662">
        <f>X291</f>
        <v>0</v>
      </c>
    </row>
    <row r="293" spans="1:25" s="1245" customFormat="1" ht="22.5" customHeight="1" thickBot="1" x14ac:dyDescent="0.25">
      <c r="A293" s="2844">
        <v>3</v>
      </c>
      <c r="B293" s="2845">
        <v>2</v>
      </c>
      <c r="C293" s="3824">
        <v>5</v>
      </c>
      <c r="D293" s="3829" t="s">
        <v>1219</v>
      </c>
      <c r="E293" s="3824">
        <v>9</v>
      </c>
      <c r="F293" s="1363" t="s">
        <v>1220</v>
      </c>
      <c r="G293" s="1364" t="s">
        <v>1221</v>
      </c>
      <c r="H293" s="2207" t="s">
        <v>30</v>
      </c>
      <c r="I293" s="1240">
        <f>SUM(J293)</f>
        <v>25.8</v>
      </c>
      <c r="J293" s="1241">
        <v>25.8</v>
      </c>
      <c r="K293" s="1241"/>
      <c r="L293" s="1361"/>
      <c r="M293" s="1365">
        <f t="shared" si="124"/>
        <v>27.6</v>
      </c>
      <c r="N293" s="734">
        <v>27.6</v>
      </c>
      <c r="O293" s="734"/>
      <c r="P293" s="735"/>
      <c r="Q293" s="1360">
        <f t="shared" si="121"/>
        <v>27.6</v>
      </c>
      <c r="R293" s="1241">
        <v>27.6</v>
      </c>
      <c r="S293" s="1241"/>
      <c r="T293" s="1361"/>
      <c r="U293" s="1360">
        <f t="shared" si="125"/>
        <v>27.6</v>
      </c>
      <c r="V293" s="75">
        <v>27.6</v>
      </c>
      <c r="W293" s="75"/>
      <c r="X293" s="76"/>
    </row>
    <row r="294" spans="1:25" s="1245" customFormat="1" ht="30" customHeight="1" thickBot="1" x14ac:dyDescent="0.25">
      <c r="A294" s="2844"/>
      <c r="B294" s="2845"/>
      <c r="C294" s="3824"/>
      <c r="D294" s="3829"/>
      <c r="E294" s="3928"/>
      <c r="F294" s="2810" t="s">
        <v>35</v>
      </c>
      <c r="G294" s="2811"/>
      <c r="H294" s="2812"/>
      <c r="I294" s="663">
        <f>SUM(J294+L294)</f>
        <v>25.8</v>
      </c>
      <c r="J294" s="664">
        <f>J293</f>
        <v>25.8</v>
      </c>
      <c r="K294" s="664">
        <f>K293</f>
        <v>0</v>
      </c>
      <c r="L294" s="664">
        <f>L293</f>
        <v>0</v>
      </c>
      <c r="M294" s="663">
        <f t="shared" si="124"/>
        <v>27.6</v>
      </c>
      <c r="N294" s="664">
        <f>N293</f>
        <v>27.6</v>
      </c>
      <c r="O294" s="664">
        <f>O293</f>
        <v>0</v>
      </c>
      <c r="P294" s="664">
        <f>P293</f>
        <v>0</v>
      </c>
      <c r="Q294" s="663">
        <f t="shared" si="121"/>
        <v>27.6</v>
      </c>
      <c r="R294" s="664">
        <f>R293</f>
        <v>27.6</v>
      </c>
      <c r="S294" s="664">
        <f>S293</f>
        <v>0</v>
      </c>
      <c r="T294" s="664">
        <f>T293</f>
        <v>0</v>
      </c>
      <c r="U294" s="663">
        <f t="shared" si="125"/>
        <v>27.6</v>
      </c>
      <c r="V294" s="664">
        <f>V293</f>
        <v>27.6</v>
      </c>
      <c r="W294" s="664">
        <f>W293</f>
        <v>0</v>
      </c>
      <c r="X294" s="662">
        <f>X293</f>
        <v>0</v>
      </c>
    </row>
    <row r="295" spans="1:25" s="1245" customFormat="1" ht="17.25" customHeight="1" x14ac:dyDescent="0.2">
      <c r="A295" s="2844">
        <v>3</v>
      </c>
      <c r="B295" s="2845">
        <v>2</v>
      </c>
      <c r="C295" s="3824">
        <v>6</v>
      </c>
      <c r="D295" s="2705" t="s">
        <v>1222</v>
      </c>
      <c r="E295" s="3928">
        <v>9</v>
      </c>
      <c r="F295" s="2847" t="s">
        <v>983</v>
      </c>
      <c r="G295" s="2847" t="s">
        <v>1223</v>
      </c>
      <c r="H295" s="715" t="s">
        <v>30</v>
      </c>
      <c r="I295" s="1235">
        <f>SUM(J295+L295)</f>
        <v>26.5</v>
      </c>
      <c r="J295" s="1369"/>
      <c r="K295" s="1369"/>
      <c r="L295" s="1369">
        <v>26.5</v>
      </c>
      <c r="M295" s="1368">
        <f>SUM(N295+P295)</f>
        <v>365.2</v>
      </c>
      <c r="N295" s="1369"/>
      <c r="O295" s="1369"/>
      <c r="P295" s="1982">
        <v>365.2</v>
      </c>
      <c r="Q295" s="1368">
        <f>SUM(R295+T295)</f>
        <v>0</v>
      </c>
      <c r="R295" s="718"/>
      <c r="S295" s="718"/>
      <c r="T295" s="718"/>
      <c r="U295" s="1368">
        <f>SUM(V295+X295)</f>
        <v>0</v>
      </c>
      <c r="V295" s="718"/>
      <c r="W295" s="718"/>
      <c r="X295" s="720"/>
    </row>
    <row r="296" spans="1:25" s="1245" customFormat="1" ht="17.25" customHeight="1" x14ac:dyDescent="0.2">
      <c r="A296" s="2844"/>
      <c r="B296" s="2845"/>
      <c r="C296" s="3800"/>
      <c r="D296" s="2495"/>
      <c r="E296" s="3932"/>
      <c r="F296" s="2848"/>
      <c r="G296" s="2848"/>
      <c r="H296" s="704" t="s">
        <v>116</v>
      </c>
      <c r="I296" s="1246">
        <f>SUM(J296+L296)</f>
        <v>122.6</v>
      </c>
      <c r="J296" s="1370"/>
      <c r="K296" s="1370"/>
      <c r="L296" s="1370">
        <v>122.6</v>
      </c>
      <c r="M296" s="1238">
        <f>N296+P296</f>
        <v>0</v>
      </c>
      <c r="N296" s="1370"/>
      <c r="O296" s="1370"/>
      <c r="P296" s="1983"/>
      <c r="Q296" s="1238"/>
      <c r="R296" s="731"/>
      <c r="S296" s="731"/>
      <c r="T296" s="731"/>
      <c r="U296" s="1238"/>
      <c r="V296" s="731"/>
      <c r="W296" s="726"/>
      <c r="X296" s="727"/>
    </row>
    <row r="297" spans="1:25" s="1245" customFormat="1" ht="17.25" customHeight="1" thickBot="1" x14ac:dyDescent="0.25">
      <c r="A297" s="2844"/>
      <c r="B297" s="2845"/>
      <c r="C297" s="3800"/>
      <c r="D297" s="2495"/>
      <c r="E297" s="3932"/>
      <c r="F297" s="2848"/>
      <c r="G297" s="2848"/>
      <c r="H297" s="1371" t="s">
        <v>32</v>
      </c>
      <c r="I297" s="1535">
        <f>SUM(J297+L297)</f>
        <v>0</v>
      </c>
      <c r="J297" s="1372"/>
      <c r="K297" s="1372"/>
      <c r="L297" s="1372"/>
      <c r="M297" s="1373">
        <f>N297+P297</f>
        <v>284.39999999999998</v>
      </c>
      <c r="N297" s="1372"/>
      <c r="O297" s="1372"/>
      <c r="P297" s="1984">
        <v>284.39999999999998</v>
      </c>
      <c r="Q297" s="1373"/>
      <c r="R297" s="734"/>
      <c r="S297" s="734"/>
      <c r="T297" s="734"/>
      <c r="U297" s="1373"/>
      <c r="V297" s="734"/>
      <c r="W297" s="731"/>
      <c r="X297" s="656"/>
    </row>
    <row r="298" spans="1:25" s="1245" customFormat="1" ht="17.25" customHeight="1" thickBot="1" x14ac:dyDescent="0.25">
      <c r="A298" s="2844"/>
      <c r="B298" s="2845"/>
      <c r="C298" s="3800"/>
      <c r="D298" s="2495"/>
      <c r="E298" s="3932"/>
      <c r="F298" s="2810" t="s">
        <v>35</v>
      </c>
      <c r="G298" s="2811"/>
      <c r="H298" s="2812"/>
      <c r="I298" s="660">
        <f>SUM(J298+L298)</f>
        <v>149.1</v>
      </c>
      <c r="J298" s="664">
        <f>SUM(J295+J296)</f>
        <v>0</v>
      </c>
      <c r="K298" s="664">
        <f t="shared" ref="K298:L298" si="132">SUM(K295+K296)</f>
        <v>0</v>
      </c>
      <c r="L298" s="664">
        <f t="shared" si="132"/>
        <v>149.1</v>
      </c>
      <c r="M298" s="660">
        <f>SUM(N298+P298)</f>
        <v>649.59999999999991</v>
      </c>
      <c r="N298" s="664">
        <f>SUM(N295)</f>
        <v>0</v>
      </c>
      <c r="O298" s="664">
        <f t="shared" ref="O298" si="133">SUM(O295)</f>
        <v>0</v>
      </c>
      <c r="P298" s="662">
        <f>SUM(P295,P297,P296)</f>
        <v>649.59999999999991</v>
      </c>
      <c r="Q298" s="660">
        <f>SUM(R298+T298)</f>
        <v>0</v>
      </c>
      <c r="R298" s="664">
        <f>SUM(R295)</f>
        <v>0</v>
      </c>
      <c r="S298" s="664">
        <f t="shared" ref="S298:T298" si="134">SUM(S295)</f>
        <v>0</v>
      </c>
      <c r="T298" s="662">
        <f t="shared" si="134"/>
        <v>0</v>
      </c>
      <c r="U298" s="660">
        <f>SUM(V298+X298)</f>
        <v>0</v>
      </c>
      <c r="V298" s="664">
        <f>SUM(V295)</f>
        <v>0</v>
      </c>
      <c r="W298" s="664">
        <f t="shared" ref="W298:X298" si="135">SUM(W295)</f>
        <v>0</v>
      </c>
      <c r="X298" s="662">
        <f t="shared" si="135"/>
        <v>0</v>
      </c>
      <c r="Y298" s="2313"/>
    </row>
    <row r="299" spans="1:25" s="1245" customFormat="1" ht="17.25" customHeight="1" thickBot="1" x14ac:dyDescent="0.25">
      <c r="A299" s="2844">
        <v>3</v>
      </c>
      <c r="B299" s="2845">
        <v>2</v>
      </c>
      <c r="C299" s="3824">
        <v>7</v>
      </c>
      <c r="D299" s="2726" t="s">
        <v>1224</v>
      </c>
      <c r="E299" s="3824">
        <v>9</v>
      </c>
      <c r="F299" s="1363" t="s">
        <v>983</v>
      </c>
      <c r="G299" s="1366" t="s">
        <v>1225</v>
      </c>
      <c r="H299" s="2207" t="s">
        <v>30</v>
      </c>
      <c r="I299" s="1240">
        <f>SUM(L299)</f>
        <v>2.4</v>
      </c>
      <c r="J299" s="1241">
        <v>13.5</v>
      </c>
      <c r="K299" s="1241"/>
      <c r="L299" s="1361">
        <v>2.4</v>
      </c>
      <c r="M299" s="1365">
        <f t="shared" ref="M299:M302" si="136">SUM(N299+P299)</f>
        <v>0</v>
      </c>
      <c r="N299" s="762"/>
      <c r="O299" s="762"/>
      <c r="P299" s="735"/>
      <c r="Q299" s="1360">
        <f t="shared" ref="Q299:Q302" si="137">SUM(R299+T299)</f>
        <v>0</v>
      </c>
      <c r="R299" s="75"/>
      <c r="S299" s="75"/>
      <c r="T299" s="669"/>
      <c r="U299" s="2122">
        <f t="shared" ref="U299:U302" si="138">SUM(V299+X299)</f>
        <v>0</v>
      </c>
      <c r="V299" s="75"/>
      <c r="W299" s="75"/>
      <c r="X299" s="76"/>
      <c r="Y299" s="2313"/>
    </row>
    <row r="300" spans="1:25" s="1245" customFormat="1" ht="17.25" customHeight="1" thickBot="1" x14ac:dyDescent="0.25">
      <c r="A300" s="2844"/>
      <c r="B300" s="2845"/>
      <c r="C300" s="3824"/>
      <c r="D300" s="2726"/>
      <c r="E300" s="3928"/>
      <c r="F300" s="2810" t="s">
        <v>35</v>
      </c>
      <c r="G300" s="2811"/>
      <c r="H300" s="2812"/>
      <c r="I300" s="663">
        <f>SUM(J300+L300)</f>
        <v>15.9</v>
      </c>
      <c r="J300" s="664">
        <f>J299</f>
        <v>13.5</v>
      </c>
      <c r="K300" s="664">
        <f>K299</f>
        <v>0</v>
      </c>
      <c r="L300" s="664">
        <f>L299</f>
        <v>2.4</v>
      </c>
      <c r="M300" s="663">
        <f t="shared" si="136"/>
        <v>0</v>
      </c>
      <c r="N300" s="664">
        <f>N299</f>
        <v>0</v>
      </c>
      <c r="O300" s="664">
        <f>O299</f>
        <v>0</v>
      </c>
      <c r="P300" s="664">
        <f>P299</f>
        <v>0</v>
      </c>
      <c r="Q300" s="663">
        <f t="shared" si="137"/>
        <v>0</v>
      </c>
      <c r="R300" s="664">
        <f>R299</f>
        <v>0</v>
      </c>
      <c r="S300" s="664">
        <f>S299</f>
        <v>0</v>
      </c>
      <c r="T300" s="664">
        <f>T299</f>
        <v>0</v>
      </c>
      <c r="U300" s="663">
        <f t="shared" si="138"/>
        <v>0</v>
      </c>
      <c r="V300" s="664">
        <f>V299</f>
        <v>0</v>
      </c>
      <c r="W300" s="664">
        <f>W299</f>
        <v>0</v>
      </c>
      <c r="X300" s="662">
        <f>X299</f>
        <v>0</v>
      </c>
      <c r="Y300" s="2313"/>
    </row>
    <row r="301" spans="1:25" s="1245" customFormat="1" ht="17.25" customHeight="1" thickBot="1" x14ac:dyDescent="0.25">
      <c r="A301" s="2844">
        <v>3</v>
      </c>
      <c r="B301" s="2845">
        <v>2</v>
      </c>
      <c r="C301" s="3824">
        <v>8</v>
      </c>
      <c r="D301" s="3829" t="s">
        <v>1226</v>
      </c>
      <c r="E301" s="3824" t="s">
        <v>341</v>
      </c>
      <c r="F301" s="1363" t="s">
        <v>1227</v>
      </c>
      <c r="G301" s="1364" t="s">
        <v>1228</v>
      </c>
      <c r="H301" s="2207" t="s">
        <v>30</v>
      </c>
      <c r="I301" s="1240">
        <f>SUM(J301)</f>
        <v>12</v>
      </c>
      <c r="J301" s="1241">
        <v>12</v>
      </c>
      <c r="K301" s="1241"/>
      <c r="L301" s="1361"/>
      <c r="M301" s="1365">
        <f t="shared" si="136"/>
        <v>31.5</v>
      </c>
      <c r="N301" s="734">
        <v>31.5</v>
      </c>
      <c r="O301" s="734"/>
      <c r="P301" s="735"/>
      <c r="Q301" s="1360">
        <f t="shared" si="137"/>
        <v>31.5</v>
      </c>
      <c r="R301" s="1241">
        <v>31.5</v>
      </c>
      <c r="S301" s="1241"/>
      <c r="T301" s="1361"/>
      <c r="U301" s="1360">
        <f t="shared" si="138"/>
        <v>31.5</v>
      </c>
      <c r="V301" s="1241">
        <v>31.5</v>
      </c>
      <c r="W301" s="75"/>
      <c r="X301" s="76"/>
      <c r="Y301" s="2313"/>
    </row>
    <row r="302" spans="1:25" s="1245" customFormat="1" ht="34.15" customHeight="1" thickBot="1" x14ac:dyDescent="0.25">
      <c r="A302" s="2844"/>
      <c r="B302" s="2845"/>
      <c r="C302" s="3824"/>
      <c r="D302" s="3829"/>
      <c r="E302" s="3928"/>
      <c r="F302" s="2810" t="s">
        <v>35</v>
      </c>
      <c r="G302" s="2811"/>
      <c r="H302" s="2812"/>
      <c r="I302" s="663">
        <f>SUM(J302+L302)</f>
        <v>12</v>
      </c>
      <c r="J302" s="664">
        <f>J301</f>
        <v>12</v>
      </c>
      <c r="K302" s="664">
        <f>K301</f>
        <v>0</v>
      </c>
      <c r="L302" s="664">
        <f>L301</f>
        <v>0</v>
      </c>
      <c r="M302" s="663">
        <f t="shared" si="136"/>
        <v>31.5</v>
      </c>
      <c r="N302" s="664">
        <f>N301</f>
        <v>31.5</v>
      </c>
      <c r="O302" s="664">
        <f>O301</f>
        <v>0</v>
      </c>
      <c r="P302" s="664">
        <f>P301</f>
        <v>0</v>
      </c>
      <c r="Q302" s="663">
        <f t="shared" si="137"/>
        <v>31.5</v>
      </c>
      <c r="R302" s="664">
        <f>R301</f>
        <v>31.5</v>
      </c>
      <c r="S302" s="664">
        <f>S301</f>
        <v>0</v>
      </c>
      <c r="T302" s="664">
        <f>T301</f>
        <v>0</v>
      </c>
      <c r="U302" s="663">
        <f t="shared" si="138"/>
        <v>31.5</v>
      </c>
      <c r="V302" s="664">
        <f>V301</f>
        <v>31.5</v>
      </c>
      <c r="W302" s="664">
        <f>W301</f>
        <v>0</v>
      </c>
      <c r="X302" s="662">
        <f>X301</f>
        <v>0</v>
      </c>
      <c r="Y302" s="2313"/>
    </row>
    <row r="303" spans="1:25" s="1245" customFormat="1" ht="20.25" customHeight="1" thickBot="1" x14ac:dyDescent="0.25">
      <c r="A303" s="2132">
        <v>3</v>
      </c>
      <c r="B303" s="1374">
        <v>2</v>
      </c>
      <c r="C303" s="3870" t="s">
        <v>234</v>
      </c>
      <c r="D303" s="3871"/>
      <c r="E303" s="3871"/>
      <c r="F303" s="3871"/>
      <c r="G303" s="3871"/>
      <c r="H303" s="3872"/>
      <c r="I303" s="1375">
        <f>L303+J303</f>
        <v>310.89999999999998</v>
      </c>
      <c r="J303" s="1376">
        <f>SUM(J281+J283+J287+J290+J292+J294+J298+J300+J302)</f>
        <v>135.39999999999998</v>
      </c>
      <c r="K303" s="1376">
        <f t="shared" ref="K303:L303" si="139">SUM(K281+K283+K287+K290+K292+K294+K298+K300)</f>
        <v>0</v>
      </c>
      <c r="L303" s="1376">
        <f t="shared" si="139"/>
        <v>175.5</v>
      </c>
      <c r="M303" s="1339">
        <f>P303+N303</f>
        <v>1510.6</v>
      </c>
      <c r="N303" s="1313">
        <f>SUM(N281+N283+N287+N290+N292+N294+N298+N300+N302)</f>
        <v>273</v>
      </c>
      <c r="O303" s="1313">
        <f t="shared" ref="O303:P303" si="140">SUM(O281+O283+O287+O290+O292+O294+O298+O300)</f>
        <v>0</v>
      </c>
      <c r="P303" s="1313">
        <f t="shared" si="140"/>
        <v>1237.5999999999999</v>
      </c>
      <c r="Q303" s="1339">
        <f>T303+R303</f>
        <v>2549.1</v>
      </c>
      <c r="R303" s="1313">
        <f>SUM(R281+R283+R287+R290+R294+R298+R302)</f>
        <v>219.1</v>
      </c>
      <c r="S303" s="1313">
        <f>SUM(S281+S283+S287+S290+S294+S298)</f>
        <v>0</v>
      </c>
      <c r="T303" s="1313">
        <f>SUM(T281+T283+T287+T290+T294+T298)</f>
        <v>2330</v>
      </c>
      <c r="U303" s="1339">
        <f>X303+V303</f>
        <v>249.1</v>
      </c>
      <c r="V303" s="1313">
        <f>SUM(V281+V283+V287+V290+V294+V298+V302)</f>
        <v>219.1</v>
      </c>
      <c r="W303" s="1313">
        <f>SUM(W281+W283+W287+W290+W294+W298)</f>
        <v>0</v>
      </c>
      <c r="X303" s="1324">
        <f>SUM(X281+X283+X287+X290+X294+X298)</f>
        <v>30</v>
      </c>
      <c r="Y303" s="2313"/>
    </row>
    <row r="304" spans="1:25" s="1245" customFormat="1" ht="21" customHeight="1" thickBot="1" x14ac:dyDescent="0.25">
      <c r="A304" s="2138">
        <v>3</v>
      </c>
      <c r="B304" s="2140">
        <v>3</v>
      </c>
      <c r="C304" s="2552" t="s">
        <v>1229</v>
      </c>
      <c r="D304" s="2553"/>
      <c r="E304" s="2553"/>
      <c r="F304" s="2553"/>
      <c r="G304" s="2553"/>
      <c r="H304" s="2553"/>
      <c r="I304" s="2553"/>
      <c r="J304" s="2553"/>
      <c r="K304" s="2553"/>
      <c r="L304" s="2553"/>
      <c r="M304" s="2553"/>
      <c r="N304" s="2553"/>
      <c r="O304" s="2553"/>
      <c r="P304" s="2553"/>
      <c r="Q304" s="2553"/>
      <c r="R304" s="2553"/>
      <c r="S304" s="2553"/>
      <c r="T304" s="2553"/>
      <c r="U304" s="2553"/>
      <c r="V304" s="2553"/>
      <c r="W304" s="2553"/>
      <c r="X304" s="2554"/>
    </row>
    <row r="305" spans="1:25" ht="24" hidden="1" customHeight="1" x14ac:dyDescent="0.2">
      <c r="A305" s="3933">
        <v>3</v>
      </c>
      <c r="B305" s="2845">
        <v>3</v>
      </c>
      <c r="C305" s="2853">
        <v>1</v>
      </c>
      <c r="D305" s="2504" t="s">
        <v>1230</v>
      </c>
      <c r="E305" s="3935">
        <v>9</v>
      </c>
      <c r="F305" s="2494" t="s">
        <v>1231</v>
      </c>
      <c r="G305" s="2494" t="s">
        <v>1232</v>
      </c>
      <c r="H305" s="2211" t="s">
        <v>634</v>
      </c>
      <c r="I305" s="739">
        <f>SUM(J305)</f>
        <v>0</v>
      </c>
      <c r="J305" s="706"/>
      <c r="K305" s="706"/>
      <c r="L305" s="707"/>
      <c r="M305" s="739">
        <f t="shared" ref="M305:M310" si="141">SUM(N305+P305)</f>
        <v>0</v>
      </c>
      <c r="N305" s="706"/>
      <c r="O305" s="706"/>
      <c r="P305" s="707"/>
      <c r="Q305" s="739">
        <f t="shared" ref="Q305:Q310" si="142">SUM(R305+T305)</f>
        <v>0</v>
      </c>
      <c r="R305" s="706"/>
      <c r="S305" s="706"/>
      <c r="T305" s="707"/>
      <c r="U305" s="739">
        <f t="shared" ref="U305:U310" si="143">SUM(V305+X305)</f>
        <v>0</v>
      </c>
      <c r="V305" s="747"/>
      <c r="W305" s="747"/>
      <c r="X305" s="748"/>
    </row>
    <row r="306" spans="1:25" ht="29.25" customHeight="1" thickBot="1" x14ac:dyDescent="0.25">
      <c r="A306" s="3933"/>
      <c r="B306" s="2845"/>
      <c r="C306" s="2853"/>
      <c r="D306" s="2504"/>
      <c r="E306" s="3935"/>
      <c r="F306" s="2492"/>
      <c r="G306" s="2492"/>
      <c r="H306" s="2214" t="s">
        <v>30</v>
      </c>
      <c r="I306" s="2235">
        <f>SUM(J306)</f>
        <v>10</v>
      </c>
      <c r="J306" s="2233">
        <v>10</v>
      </c>
      <c r="K306" s="2233"/>
      <c r="L306" s="2234"/>
      <c r="M306" s="1246">
        <f t="shared" si="141"/>
        <v>10</v>
      </c>
      <c r="N306" s="2233">
        <v>10</v>
      </c>
      <c r="O306" s="2233"/>
      <c r="P306" s="2234"/>
      <c r="Q306" s="1246">
        <f t="shared" si="142"/>
        <v>10</v>
      </c>
      <c r="R306" s="2233">
        <v>10</v>
      </c>
      <c r="S306" s="2233"/>
      <c r="T306" s="2234"/>
      <c r="U306" s="1246">
        <f t="shared" si="143"/>
        <v>10</v>
      </c>
      <c r="V306" s="1377">
        <v>10</v>
      </c>
      <c r="W306" s="1377"/>
      <c r="X306" s="57"/>
    </row>
    <row r="307" spans="1:25" s="1245" customFormat="1" ht="24.75" customHeight="1" thickBot="1" x14ac:dyDescent="0.25">
      <c r="A307" s="3933"/>
      <c r="B307" s="2845"/>
      <c r="C307" s="2846"/>
      <c r="D307" s="2505"/>
      <c r="E307" s="3874"/>
      <c r="F307" s="2810" t="s">
        <v>35</v>
      </c>
      <c r="G307" s="2811"/>
      <c r="H307" s="2812"/>
      <c r="I307" s="663">
        <f>SUM(J307+L307)</f>
        <v>10</v>
      </c>
      <c r="J307" s="664">
        <f>SUM(J305+J306)</f>
        <v>10</v>
      </c>
      <c r="K307" s="664">
        <f t="shared" ref="K307:L307" si="144">SUM(K305)</f>
        <v>0</v>
      </c>
      <c r="L307" s="664">
        <f t="shared" si="144"/>
        <v>0</v>
      </c>
      <c r="M307" s="663">
        <f t="shared" si="141"/>
        <v>10</v>
      </c>
      <c r="N307" s="664">
        <f>SUM(N305+N306)</f>
        <v>10</v>
      </c>
      <c r="O307" s="664">
        <f t="shared" ref="O307:P307" si="145">SUM(O305)</f>
        <v>0</v>
      </c>
      <c r="P307" s="664">
        <f t="shared" si="145"/>
        <v>0</v>
      </c>
      <c r="Q307" s="663">
        <f t="shared" si="142"/>
        <v>10</v>
      </c>
      <c r="R307" s="664">
        <f>SUM(R305+R306)</f>
        <v>10</v>
      </c>
      <c r="S307" s="664">
        <f t="shared" ref="S307:T307" si="146">SUM(S305)</f>
        <v>0</v>
      </c>
      <c r="T307" s="664">
        <f t="shared" si="146"/>
        <v>0</v>
      </c>
      <c r="U307" s="663">
        <f t="shared" si="143"/>
        <v>10</v>
      </c>
      <c r="V307" s="664">
        <f>SUM(V305+V306)</f>
        <v>10</v>
      </c>
      <c r="W307" s="664">
        <f t="shared" ref="W307:X307" si="147">SUM(W305)</f>
        <v>0</v>
      </c>
      <c r="X307" s="662">
        <f t="shared" si="147"/>
        <v>0</v>
      </c>
      <c r="Y307" s="2313"/>
    </row>
    <row r="308" spans="1:25" ht="24" customHeight="1" thickBot="1" x14ac:dyDescent="0.25">
      <c r="A308" s="3933">
        <v>3</v>
      </c>
      <c r="B308" s="2845">
        <v>3</v>
      </c>
      <c r="C308" s="2853">
        <v>2</v>
      </c>
      <c r="D308" s="2504" t="s">
        <v>1233</v>
      </c>
      <c r="E308" s="3935">
        <v>9</v>
      </c>
      <c r="F308" s="2142" t="s">
        <v>1231</v>
      </c>
      <c r="G308" s="2142" t="s">
        <v>1234</v>
      </c>
      <c r="H308" s="1274" t="s">
        <v>30</v>
      </c>
      <c r="I308" s="1262">
        <f>SUM(J308)</f>
        <v>3.3</v>
      </c>
      <c r="J308" s="731">
        <v>3.3</v>
      </c>
      <c r="K308" s="731"/>
      <c r="L308" s="730"/>
      <c r="M308" s="1246">
        <f t="shared" si="141"/>
        <v>15</v>
      </c>
      <c r="N308" s="731">
        <v>15</v>
      </c>
      <c r="O308" s="731"/>
      <c r="P308" s="656"/>
      <c r="Q308" s="1246">
        <f t="shared" si="142"/>
        <v>15</v>
      </c>
      <c r="R308" s="731">
        <v>15</v>
      </c>
      <c r="S308" s="731"/>
      <c r="T308" s="730"/>
      <c r="U308" s="1246">
        <f t="shared" si="143"/>
        <v>15</v>
      </c>
      <c r="V308" s="659">
        <v>15</v>
      </c>
      <c r="W308" s="659"/>
      <c r="X308" s="657"/>
    </row>
    <row r="309" spans="1:25" s="1245" customFormat="1" ht="18" customHeight="1" thickBot="1" x14ac:dyDescent="0.25">
      <c r="A309" s="3933"/>
      <c r="B309" s="2845"/>
      <c r="C309" s="3934"/>
      <c r="D309" s="2709"/>
      <c r="E309" s="3936"/>
      <c r="F309" s="3915" t="s">
        <v>35</v>
      </c>
      <c r="G309" s="3916"/>
      <c r="H309" s="2812"/>
      <c r="I309" s="663">
        <f>SUM(J309+L309)</f>
        <v>3.3</v>
      </c>
      <c r="J309" s="664">
        <f>SUM(J308)</f>
        <v>3.3</v>
      </c>
      <c r="K309" s="664">
        <f t="shared" ref="K309:L309" si="148">SUM(K308)</f>
        <v>0</v>
      </c>
      <c r="L309" s="664">
        <f t="shared" si="148"/>
        <v>0</v>
      </c>
      <c r="M309" s="663">
        <f t="shared" si="141"/>
        <v>15</v>
      </c>
      <c r="N309" s="664">
        <f>SUM(N308)</f>
        <v>15</v>
      </c>
      <c r="O309" s="664">
        <f t="shared" ref="O309:P309" si="149">SUM(O308)</f>
        <v>0</v>
      </c>
      <c r="P309" s="664">
        <f t="shared" si="149"/>
        <v>0</v>
      </c>
      <c r="Q309" s="663">
        <f t="shared" si="142"/>
        <v>15</v>
      </c>
      <c r="R309" s="664">
        <f>SUM(R308)</f>
        <v>15</v>
      </c>
      <c r="S309" s="664">
        <f t="shared" ref="S309:T309" si="150">SUM(S308)</f>
        <v>0</v>
      </c>
      <c r="T309" s="664">
        <f t="shared" si="150"/>
        <v>0</v>
      </c>
      <c r="U309" s="663">
        <f t="shared" si="143"/>
        <v>15</v>
      </c>
      <c r="V309" s="664">
        <f>SUM(V308)</f>
        <v>15</v>
      </c>
      <c r="W309" s="664">
        <f t="shared" ref="W309:X309" si="151">SUM(W308)</f>
        <v>0</v>
      </c>
      <c r="X309" s="662">
        <f t="shared" si="151"/>
        <v>0</v>
      </c>
      <c r="Y309" s="2313"/>
    </row>
    <row r="310" spans="1:25" s="1245" customFormat="1" ht="21" customHeight="1" thickBot="1" x14ac:dyDescent="0.25">
      <c r="A310" s="2132">
        <v>3</v>
      </c>
      <c r="B310" s="1374">
        <v>3</v>
      </c>
      <c r="C310" s="3876" t="s">
        <v>234</v>
      </c>
      <c r="D310" s="3877"/>
      <c r="E310" s="3877"/>
      <c r="F310" s="3877"/>
      <c r="G310" s="3877"/>
      <c r="H310" s="3878"/>
      <c r="I310" s="1312">
        <f>SUM(J310+L310)</f>
        <v>13.3</v>
      </c>
      <c r="J310" s="1313">
        <f>SUM(J307+J309)</f>
        <v>13.3</v>
      </c>
      <c r="K310" s="1313">
        <f t="shared" ref="K310:L310" si="152">SUM(K307)</f>
        <v>0</v>
      </c>
      <c r="L310" s="1313">
        <f t="shared" si="152"/>
        <v>0</v>
      </c>
      <c r="M310" s="1312">
        <f t="shared" si="141"/>
        <v>25</v>
      </c>
      <c r="N310" s="1313">
        <f>SUM(N307,N309)</f>
        <v>25</v>
      </c>
      <c r="O310" s="1313">
        <f t="shared" ref="O310:P310" si="153">SUM(O307)</f>
        <v>0</v>
      </c>
      <c r="P310" s="1313">
        <f t="shared" si="153"/>
        <v>0</v>
      </c>
      <c r="Q310" s="1312">
        <f t="shared" si="142"/>
        <v>25</v>
      </c>
      <c r="R310" s="1313">
        <f>SUM(R307,R309)</f>
        <v>25</v>
      </c>
      <c r="S310" s="1313">
        <f t="shared" ref="S310:T310" si="154">SUM(S307)</f>
        <v>0</v>
      </c>
      <c r="T310" s="1313">
        <f t="shared" si="154"/>
        <v>0</v>
      </c>
      <c r="U310" s="1312">
        <f t="shared" si="143"/>
        <v>25</v>
      </c>
      <c r="V310" s="1313">
        <f>SUM(V307,V309)</f>
        <v>25</v>
      </c>
      <c r="W310" s="1313">
        <f t="shared" ref="W310:X310" si="155">SUM(W307)</f>
        <v>0</v>
      </c>
      <c r="X310" s="1324">
        <f t="shared" si="155"/>
        <v>0</v>
      </c>
    </row>
    <row r="311" spans="1:25" s="1245" customFormat="1" ht="16.5" hidden="1" customHeight="1" thickBot="1" x14ac:dyDescent="0.25">
      <c r="A311" s="2138">
        <v>5</v>
      </c>
      <c r="B311" s="768">
        <v>5</v>
      </c>
      <c r="C311" s="2552" t="s">
        <v>1235</v>
      </c>
      <c r="D311" s="2553"/>
      <c r="E311" s="2553"/>
      <c r="F311" s="2553"/>
      <c r="G311" s="2553"/>
      <c r="H311" s="2553"/>
      <c r="I311" s="2553"/>
      <c r="J311" s="2553"/>
      <c r="K311" s="2553"/>
      <c r="L311" s="2553"/>
      <c r="M311" s="2553"/>
      <c r="N311" s="2553"/>
      <c r="O311" s="2553"/>
      <c r="P311" s="2553"/>
      <c r="Q311" s="2553"/>
      <c r="R311" s="2553"/>
      <c r="S311" s="2553"/>
      <c r="T311" s="2553"/>
      <c r="U311" s="2553"/>
      <c r="V311" s="2553"/>
      <c r="W311" s="2553"/>
      <c r="X311" s="2554"/>
    </row>
    <row r="312" spans="1:25" s="1384" customFormat="1" ht="13.5" hidden="1" customHeight="1" x14ac:dyDescent="0.2">
      <c r="A312" s="2844">
        <v>5</v>
      </c>
      <c r="B312" s="2845">
        <v>5</v>
      </c>
      <c r="C312" s="3823">
        <v>1</v>
      </c>
      <c r="D312" s="3937"/>
      <c r="E312" s="3938">
        <v>14</v>
      </c>
      <c r="F312" s="3917"/>
      <c r="G312" s="3917"/>
      <c r="H312" s="3939" t="s">
        <v>1236</v>
      </c>
      <c r="I312" s="1378">
        <f>SUM(J312+L312)</f>
        <v>0</v>
      </c>
      <c r="J312" s="1379"/>
      <c r="K312" s="1380"/>
      <c r="L312" s="1381"/>
      <c r="M312" s="1382">
        <f t="shared" ref="M312:M331" si="156">SUM(N312+P312)</f>
        <v>0</v>
      </c>
      <c r="N312" s="1379">
        <f>SUM(N313*3.4528)</f>
        <v>0</v>
      </c>
      <c r="O312" s="1380"/>
      <c r="P312" s="1383"/>
      <c r="Q312" s="1382">
        <f t="shared" ref="Q312:Q326" si="157">SUM(R312+T312)</f>
        <v>0</v>
      </c>
      <c r="R312" s="1379">
        <f>SUM(R313*3.4528)</f>
        <v>0</v>
      </c>
      <c r="S312" s="1380"/>
      <c r="T312" s="1381"/>
      <c r="U312" s="1382">
        <f t="shared" ref="U312:U326" si="158">SUM(V312+X312)</f>
        <v>0</v>
      </c>
      <c r="V312" s="1379">
        <f>SUM(V313*3.4528)</f>
        <v>0</v>
      </c>
      <c r="W312" s="1380"/>
      <c r="X312" s="1383"/>
    </row>
    <row r="313" spans="1:25" s="1384" customFormat="1" ht="13.5" hidden="1" customHeight="1" x14ac:dyDescent="0.2">
      <c r="A313" s="2844"/>
      <c r="B313" s="2845"/>
      <c r="C313" s="3824"/>
      <c r="D313" s="3829"/>
      <c r="E313" s="3928"/>
      <c r="F313" s="3858"/>
      <c r="G313" s="3858"/>
      <c r="H313" s="3940"/>
      <c r="I313" s="1385">
        <f t="shared" ref="I313:X313" si="159">I312/3.4528</f>
        <v>0</v>
      </c>
      <c r="J313" s="1386">
        <f t="shared" si="159"/>
        <v>0</v>
      </c>
      <c r="K313" s="1386">
        <f t="shared" si="159"/>
        <v>0</v>
      </c>
      <c r="L313" s="1387">
        <f t="shared" si="159"/>
        <v>0</v>
      </c>
      <c r="M313" s="1388">
        <f t="shared" si="156"/>
        <v>0</v>
      </c>
      <c r="N313" s="1389"/>
      <c r="O313" s="1386">
        <f t="shared" si="159"/>
        <v>0</v>
      </c>
      <c r="P313" s="1390">
        <f t="shared" si="159"/>
        <v>0</v>
      </c>
      <c r="Q313" s="1388">
        <f t="shared" si="157"/>
        <v>0</v>
      </c>
      <c r="R313" s="1386"/>
      <c r="S313" s="1386">
        <f t="shared" si="159"/>
        <v>0</v>
      </c>
      <c r="T313" s="1387">
        <f t="shared" si="159"/>
        <v>0</v>
      </c>
      <c r="U313" s="1388">
        <f t="shared" si="158"/>
        <v>0</v>
      </c>
      <c r="V313" s="1386"/>
      <c r="W313" s="1386">
        <f t="shared" si="159"/>
        <v>0</v>
      </c>
      <c r="X313" s="1390">
        <f t="shared" si="159"/>
        <v>0</v>
      </c>
    </row>
    <row r="314" spans="1:25" s="1245" customFormat="1" ht="14.25" hidden="1" customHeight="1" x14ac:dyDescent="0.2">
      <c r="A314" s="2844"/>
      <c r="B314" s="2845"/>
      <c r="C314" s="3824"/>
      <c r="D314" s="3829"/>
      <c r="E314" s="3928"/>
      <c r="F314" s="3858"/>
      <c r="G314" s="3858"/>
      <c r="H314" s="3941" t="s">
        <v>30</v>
      </c>
      <c r="I314" s="1391">
        <f>SUM(J314+L314)</f>
        <v>0</v>
      </c>
      <c r="J314" s="1392"/>
      <c r="K314" s="1393"/>
      <c r="L314" s="1394"/>
      <c r="M314" s="1395">
        <f t="shared" si="156"/>
        <v>0</v>
      </c>
      <c r="N314" s="1396">
        <f>SUM(N315*3.4528)</f>
        <v>0</v>
      </c>
      <c r="O314" s="1397"/>
      <c r="P314" s="1398"/>
      <c r="Q314" s="1399">
        <f t="shared" si="157"/>
        <v>0</v>
      </c>
      <c r="R314" s="1396">
        <f>SUM(R315*3.4528)</f>
        <v>0</v>
      </c>
      <c r="S314" s="1397"/>
      <c r="T314" s="1400"/>
      <c r="U314" s="1399">
        <f t="shared" si="158"/>
        <v>0</v>
      </c>
      <c r="V314" s="1396">
        <f>SUM(V315*3.4528)</f>
        <v>0</v>
      </c>
      <c r="W314" s="1397"/>
      <c r="X314" s="1398"/>
    </row>
    <row r="315" spans="1:25" s="1245" customFormat="1" ht="14.25" hidden="1" customHeight="1" thickBot="1" x14ac:dyDescent="0.25">
      <c r="A315" s="2844"/>
      <c r="B315" s="2845"/>
      <c r="C315" s="3824"/>
      <c r="D315" s="3829"/>
      <c r="E315" s="3928"/>
      <c r="F315" s="3875"/>
      <c r="G315" s="3875"/>
      <c r="H315" s="3926"/>
      <c r="I315" s="1401">
        <f t="shared" ref="I315:X315" si="160">I314/3.4528</f>
        <v>0</v>
      </c>
      <c r="J315" s="1402">
        <f t="shared" si="160"/>
        <v>0</v>
      </c>
      <c r="K315" s="1402">
        <f t="shared" si="160"/>
        <v>0</v>
      </c>
      <c r="L315" s="1403">
        <f t="shared" si="160"/>
        <v>0</v>
      </c>
      <c r="M315" s="1404">
        <f t="shared" si="156"/>
        <v>0</v>
      </c>
      <c r="N315" s="1405"/>
      <c r="O315" s="1405">
        <f t="shared" si="160"/>
        <v>0</v>
      </c>
      <c r="P315" s="1406">
        <f t="shared" si="160"/>
        <v>0</v>
      </c>
      <c r="Q315" s="1407">
        <f t="shared" si="157"/>
        <v>0</v>
      </c>
      <c r="R315" s="1405"/>
      <c r="S315" s="1405">
        <f t="shared" si="160"/>
        <v>0</v>
      </c>
      <c r="T315" s="1408">
        <f t="shared" si="160"/>
        <v>0</v>
      </c>
      <c r="U315" s="1407">
        <f t="shared" si="158"/>
        <v>0</v>
      </c>
      <c r="V315" s="1405"/>
      <c r="W315" s="1405">
        <f t="shared" si="160"/>
        <v>0</v>
      </c>
      <c r="X315" s="1406">
        <f t="shared" si="160"/>
        <v>0</v>
      </c>
    </row>
    <row r="316" spans="1:25" s="1245" customFormat="1" ht="12.75" hidden="1" customHeight="1" thickBot="1" x14ac:dyDescent="0.25">
      <c r="A316" s="2844"/>
      <c r="B316" s="2845"/>
      <c r="C316" s="3824"/>
      <c r="D316" s="3829"/>
      <c r="E316" s="3928"/>
      <c r="F316" s="2817" t="s">
        <v>35</v>
      </c>
      <c r="G316" s="2818"/>
      <c r="H316" s="2819"/>
      <c r="I316" s="1409">
        <f>SUM(J316+L316)</f>
        <v>0</v>
      </c>
      <c r="J316" s="1410">
        <f t="shared" ref="J316:L317" si="161">SUM(J314,J312)</f>
        <v>0</v>
      </c>
      <c r="K316" s="1410">
        <f t="shared" si="161"/>
        <v>0</v>
      </c>
      <c r="L316" s="1411">
        <f t="shared" si="161"/>
        <v>0</v>
      </c>
      <c r="M316" s="1409">
        <f t="shared" si="156"/>
        <v>0</v>
      </c>
      <c r="N316" s="1410">
        <f t="shared" ref="N316:P317" si="162">SUM(N314,N312)</f>
        <v>0</v>
      </c>
      <c r="O316" s="1410">
        <f t="shared" si="162"/>
        <v>0</v>
      </c>
      <c r="P316" s="1412">
        <f t="shared" si="162"/>
        <v>0</v>
      </c>
      <c r="Q316" s="1413">
        <f t="shared" si="157"/>
        <v>0</v>
      </c>
      <c r="R316" s="1410">
        <f t="shared" ref="R316:T317" si="163">SUM(R314,R312)</f>
        <v>0</v>
      </c>
      <c r="S316" s="1410">
        <f t="shared" si="163"/>
        <v>0</v>
      </c>
      <c r="T316" s="1411">
        <f t="shared" si="163"/>
        <v>0</v>
      </c>
      <c r="U316" s="1409">
        <f t="shared" si="158"/>
        <v>0</v>
      </c>
      <c r="V316" s="1410">
        <f t="shared" ref="V316:X317" si="164">SUM(V314,V312)</f>
        <v>0</v>
      </c>
      <c r="W316" s="1410">
        <f t="shared" si="164"/>
        <v>0</v>
      </c>
      <c r="X316" s="1412">
        <f t="shared" si="164"/>
        <v>0</v>
      </c>
    </row>
    <row r="317" spans="1:25" s="1245" customFormat="1" ht="12" hidden="1" customHeight="1" thickBot="1" x14ac:dyDescent="0.25">
      <c r="A317" s="2844"/>
      <c r="B317" s="2845"/>
      <c r="C317" s="3824"/>
      <c r="D317" s="3829"/>
      <c r="E317" s="3928"/>
      <c r="F317" s="3788"/>
      <c r="G317" s="3789"/>
      <c r="H317" s="3790"/>
      <c r="I317" s="1409">
        <f>SUM(J317+L317)</f>
        <v>0</v>
      </c>
      <c r="J317" s="1410">
        <f t="shared" si="161"/>
        <v>0</v>
      </c>
      <c r="K317" s="1410">
        <f t="shared" si="161"/>
        <v>0</v>
      </c>
      <c r="L317" s="1411">
        <f t="shared" si="161"/>
        <v>0</v>
      </c>
      <c r="M317" s="1414">
        <f t="shared" si="156"/>
        <v>0</v>
      </c>
      <c r="N317" s="1415">
        <f t="shared" si="162"/>
        <v>0</v>
      </c>
      <c r="O317" s="1415">
        <f t="shared" si="162"/>
        <v>0</v>
      </c>
      <c r="P317" s="1416">
        <f t="shared" si="162"/>
        <v>0</v>
      </c>
      <c r="Q317" s="1409">
        <f t="shared" si="157"/>
        <v>0</v>
      </c>
      <c r="R317" s="1410">
        <f t="shared" si="163"/>
        <v>0</v>
      </c>
      <c r="S317" s="1410">
        <f t="shared" si="163"/>
        <v>0</v>
      </c>
      <c r="T317" s="1411">
        <f t="shared" si="163"/>
        <v>0</v>
      </c>
      <c r="U317" s="1409">
        <f t="shared" si="158"/>
        <v>0</v>
      </c>
      <c r="V317" s="1410">
        <f t="shared" si="164"/>
        <v>0</v>
      </c>
      <c r="W317" s="1410">
        <f t="shared" si="164"/>
        <v>0</v>
      </c>
      <c r="X317" s="1412">
        <f t="shared" si="164"/>
        <v>0</v>
      </c>
    </row>
    <row r="318" spans="1:25" s="1384" customFormat="1" ht="15.75" hidden="1" customHeight="1" x14ac:dyDescent="0.2">
      <c r="A318" s="2844">
        <v>5</v>
      </c>
      <c r="B318" s="2845">
        <v>5</v>
      </c>
      <c r="C318" s="3824">
        <v>2</v>
      </c>
      <c r="D318" s="3942" t="s">
        <v>1237</v>
      </c>
      <c r="E318" s="3857">
        <v>14</v>
      </c>
      <c r="F318" s="3943" t="s">
        <v>1238</v>
      </c>
      <c r="G318" s="3943" t="s">
        <v>1216</v>
      </c>
      <c r="H318" s="3945" t="s">
        <v>1236</v>
      </c>
      <c r="I318" s="1417">
        <f>SUM(J318+L318)</f>
        <v>0</v>
      </c>
      <c r="J318" s="1418"/>
      <c r="K318" s="1418"/>
      <c r="L318" s="1419"/>
      <c r="M318" s="1388">
        <f t="shared" si="156"/>
        <v>0</v>
      </c>
      <c r="N318" s="1418">
        <f>SUM(N319*3.4528)</f>
        <v>0</v>
      </c>
      <c r="O318" s="1418"/>
      <c r="P318" s="1420"/>
      <c r="Q318" s="1421">
        <f t="shared" si="157"/>
        <v>0</v>
      </c>
      <c r="R318" s="1418">
        <f>SUM(R319*3.4528)</f>
        <v>0</v>
      </c>
      <c r="S318" s="1418"/>
      <c r="T318" s="1419"/>
      <c r="U318" s="1388">
        <f t="shared" si="158"/>
        <v>0</v>
      </c>
      <c r="V318" s="1418">
        <f>SUM(V319*3.4528)</f>
        <v>0</v>
      </c>
      <c r="W318" s="1418"/>
      <c r="X318" s="1420"/>
    </row>
    <row r="319" spans="1:25" s="1384" customFormat="1" ht="15.75" hidden="1" customHeight="1" thickBot="1" x14ac:dyDescent="0.25">
      <c r="A319" s="2844"/>
      <c r="B319" s="2845"/>
      <c r="C319" s="3824"/>
      <c r="D319" s="3942"/>
      <c r="E319" s="3857"/>
      <c r="F319" s="3944"/>
      <c r="G319" s="3944"/>
      <c r="H319" s="3946"/>
      <c r="I319" s="1389">
        <f t="shared" ref="I319:X319" si="165">I318/3.4528</f>
        <v>0</v>
      </c>
      <c r="J319" s="1386">
        <f t="shared" si="165"/>
        <v>0</v>
      </c>
      <c r="K319" s="1386">
        <f t="shared" si="165"/>
        <v>0</v>
      </c>
      <c r="L319" s="1387">
        <f t="shared" si="165"/>
        <v>0</v>
      </c>
      <c r="M319" s="1388">
        <f t="shared" si="156"/>
        <v>0</v>
      </c>
      <c r="N319" s="1386"/>
      <c r="O319" s="1386">
        <f t="shared" si="165"/>
        <v>0</v>
      </c>
      <c r="P319" s="1390">
        <f t="shared" si="165"/>
        <v>0</v>
      </c>
      <c r="Q319" s="1421">
        <f t="shared" si="157"/>
        <v>0</v>
      </c>
      <c r="R319" s="1386"/>
      <c r="S319" s="1386">
        <f t="shared" si="165"/>
        <v>0</v>
      </c>
      <c r="T319" s="1387">
        <f t="shared" si="165"/>
        <v>0</v>
      </c>
      <c r="U319" s="1388">
        <f t="shared" si="158"/>
        <v>0</v>
      </c>
      <c r="V319" s="1386"/>
      <c r="W319" s="1386">
        <f t="shared" si="165"/>
        <v>0</v>
      </c>
      <c r="X319" s="1390">
        <f t="shared" si="165"/>
        <v>0</v>
      </c>
    </row>
    <row r="320" spans="1:25" s="1356" customFormat="1" ht="15.75" hidden="1" customHeight="1" thickBot="1" x14ac:dyDescent="0.25">
      <c r="A320" s="2844"/>
      <c r="B320" s="2845"/>
      <c r="C320" s="3824"/>
      <c r="D320" s="3942"/>
      <c r="E320" s="3857"/>
      <c r="F320" s="2817" t="s">
        <v>35</v>
      </c>
      <c r="G320" s="2818"/>
      <c r="H320" s="2819"/>
      <c r="I320" s="1413">
        <f>SUM(J320+L320)</f>
        <v>0</v>
      </c>
      <c r="J320" s="1410">
        <f t="shared" ref="J320:L321" si="166">SUM(J318)</f>
        <v>0</v>
      </c>
      <c r="K320" s="1410">
        <f t="shared" si="166"/>
        <v>0</v>
      </c>
      <c r="L320" s="1411">
        <f t="shared" si="166"/>
        <v>0</v>
      </c>
      <c r="M320" s="1409">
        <f t="shared" si="156"/>
        <v>0</v>
      </c>
      <c r="N320" s="1410">
        <f t="shared" ref="N320:P321" si="167">SUM(N318)</f>
        <v>0</v>
      </c>
      <c r="O320" s="1410">
        <f t="shared" si="167"/>
        <v>0</v>
      </c>
      <c r="P320" s="1412">
        <f t="shared" si="167"/>
        <v>0</v>
      </c>
      <c r="Q320" s="1409">
        <f t="shared" si="157"/>
        <v>0</v>
      </c>
      <c r="R320" s="1410">
        <f t="shared" ref="R320:T321" si="168">SUM(R318)</f>
        <v>0</v>
      </c>
      <c r="S320" s="1410">
        <f t="shared" si="168"/>
        <v>0</v>
      </c>
      <c r="T320" s="1411">
        <f t="shared" si="168"/>
        <v>0</v>
      </c>
      <c r="U320" s="1409">
        <f t="shared" si="158"/>
        <v>0</v>
      </c>
      <c r="V320" s="1410">
        <f t="shared" ref="V320:X321" si="169">SUM(V318)</f>
        <v>0</v>
      </c>
      <c r="W320" s="1410">
        <f t="shared" si="169"/>
        <v>0</v>
      </c>
      <c r="X320" s="1412">
        <f t="shared" si="169"/>
        <v>0</v>
      </c>
    </row>
    <row r="321" spans="1:25" s="1356" customFormat="1" ht="15.75" hidden="1" customHeight="1" thickBot="1" x14ac:dyDescent="0.25">
      <c r="A321" s="2844"/>
      <c r="B321" s="2845"/>
      <c r="C321" s="3824"/>
      <c r="D321" s="3942"/>
      <c r="E321" s="3857"/>
      <c r="F321" s="3788"/>
      <c r="G321" s="3789"/>
      <c r="H321" s="3790"/>
      <c r="I321" s="1413">
        <f>SUM(J321+L321)</f>
        <v>0</v>
      </c>
      <c r="J321" s="1410">
        <f t="shared" si="166"/>
        <v>0</v>
      </c>
      <c r="K321" s="1410">
        <f t="shared" si="166"/>
        <v>0</v>
      </c>
      <c r="L321" s="1411">
        <f t="shared" si="166"/>
        <v>0</v>
      </c>
      <c r="M321" s="1409">
        <f t="shared" si="156"/>
        <v>0</v>
      </c>
      <c r="N321" s="1410">
        <f t="shared" si="167"/>
        <v>0</v>
      </c>
      <c r="O321" s="1410">
        <f t="shared" si="167"/>
        <v>0</v>
      </c>
      <c r="P321" s="1412">
        <f t="shared" si="167"/>
        <v>0</v>
      </c>
      <c r="Q321" s="1409">
        <f t="shared" si="157"/>
        <v>0</v>
      </c>
      <c r="R321" s="1410">
        <f t="shared" si="168"/>
        <v>0</v>
      </c>
      <c r="S321" s="1410">
        <f t="shared" si="168"/>
        <v>0</v>
      </c>
      <c r="T321" s="1411">
        <f t="shared" si="168"/>
        <v>0</v>
      </c>
      <c r="U321" s="1409">
        <f t="shared" si="158"/>
        <v>0</v>
      </c>
      <c r="V321" s="1410">
        <f t="shared" si="169"/>
        <v>0</v>
      </c>
      <c r="W321" s="1410">
        <f t="shared" si="169"/>
        <v>0</v>
      </c>
      <c r="X321" s="1412">
        <f t="shared" si="169"/>
        <v>0</v>
      </c>
    </row>
    <row r="322" spans="1:25" s="1356" customFormat="1" ht="14.25" hidden="1" customHeight="1" x14ac:dyDescent="0.2">
      <c r="A322" s="2844"/>
      <c r="B322" s="2845"/>
      <c r="C322" s="3824"/>
      <c r="D322" s="3829"/>
      <c r="E322" s="3857">
        <v>14</v>
      </c>
      <c r="F322" s="3917"/>
      <c r="G322" s="3917"/>
      <c r="H322" s="3925" t="s">
        <v>30</v>
      </c>
      <c r="I322" s="1422">
        <f>SUM(J322+L322)</f>
        <v>0</v>
      </c>
      <c r="J322" s="1423"/>
      <c r="K322" s="1424"/>
      <c r="L322" s="1425"/>
      <c r="M322" s="1426">
        <f t="shared" si="156"/>
        <v>0</v>
      </c>
      <c r="N322" s="1427">
        <f>SUM(N323*3.4528)</f>
        <v>0</v>
      </c>
      <c r="O322" s="1428"/>
      <c r="P322" s="1429"/>
      <c r="Q322" s="1426">
        <f t="shared" si="157"/>
        <v>0</v>
      </c>
      <c r="R322" s="1427">
        <f>SUM(R323*3.4528)</f>
        <v>0</v>
      </c>
      <c r="S322" s="1428"/>
      <c r="T322" s="1430"/>
      <c r="U322" s="1426">
        <f t="shared" si="158"/>
        <v>0</v>
      </c>
      <c r="V322" s="1427">
        <f>SUM(V323*3.4528)</f>
        <v>0</v>
      </c>
      <c r="W322" s="1428"/>
      <c r="X322" s="1429"/>
    </row>
    <row r="323" spans="1:25" s="1356" customFormat="1" ht="14.25" hidden="1" customHeight="1" thickBot="1" x14ac:dyDescent="0.25">
      <c r="A323" s="2844"/>
      <c r="B323" s="2845"/>
      <c r="C323" s="3824"/>
      <c r="D323" s="3829"/>
      <c r="E323" s="3857"/>
      <c r="F323" s="3875"/>
      <c r="G323" s="3875"/>
      <c r="H323" s="3926"/>
      <c r="I323" s="1431">
        <f t="shared" ref="I323:X323" si="170">I322/3.4528</f>
        <v>0</v>
      </c>
      <c r="J323" s="1432">
        <f t="shared" si="170"/>
        <v>0</v>
      </c>
      <c r="K323" s="1432">
        <f t="shared" si="170"/>
        <v>0</v>
      </c>
      <c r="L323" s="1433">
        <f t="shared" si="170"/>
        <v>0</v>
      </c>
      <c r="M323" s="1434">
        <f t="shared" si="156"/>
        <v>0</v>
      </c>
      <c r="N323" s="1405"/>
      <c r="O323" s="1405">
        <f t="shared" si="170"/>
        <v>0</v>
      </c>
      <c r="P323" s="1406">
        <f t="shared" si="170"/>
        <v>0</v>
      </c>
      <c r="Q323" s="1434">
        <f t="shared" si="157"/>
        <v>0</v>
      </c>
      <c r="R323" s="1405"/>
      <c r="S323" s="1405">
        <f t="shared" si="170"/>
        <v>0</v>
      </c>
      <c r="T323" s="1408">
        <f t="shared" si="170"/>
        <v>0</v>
      </c>
      <c r="U323" s="1434">
        <f t="shared" si="158"/>
        <v>0</v>
      </c>
      <c r="V323" s="1405"/>
      <c r="W323" s="1405">
        <f t="shared" si="170"/>
        <v>0</v>
      </c>
      <c r="X323" s="1406">
        <f t="shared" si="170"/>
        <v>0</v>
      </c>
    </row>
    <row r="324" spans="1:25" s="1356" customFormat="1" ht="14.25" hidden="1" customHeight="1" thickBot="1" x14ac:dyDescent="0.25">
      <c r="A324" s="2844"/>
      <c r="B324" s="2845"/>
      <c r="C324" s="3824"/>
      <c r="D324" s="3829"/>
      <c r="E324" s="3857"/>
      <c r="F324" s="2817" t="s">
        <v>35</v>
      </c>
      <c r="G324" s="2818"/>
      <c r="H324" s="2819"/>
      <c r="I324" s="1409">
        <f>SUM(J324+L324)</f>
        <v>0</v>
      </c>
      <c r="J324" s="1410">
        <f t="shared" ref="J324:L325" si="171">SUM(J322)</f>
        <v>0</v>
      </c>
      <c r="K324" s="1410">
        <f t="shared" si="171"/>
        <v>0</v>
      </c>
      <c r="L324" s="1411">
        <f t="shared" si="171"/>
        <v>0</v>
      </c>
      <c r="M324" s="1409">
        <f t="shared" si="156"/>
        <v>0</v>
      </c>
      <c r="N324" s="1410">
        <f t="shared" ref="N324:P325" si="172">SUM(N322)</f>
        <v>0</v>
      </c>
      <c r="O324" s="1410">
        <f t="shared" si="172"/>
        <v>0</v>
      </c>
      <c r="P324" s="1412">
        <f t="shared" si="172"/>
        <v>0</v>
      </c>
      <c r="Q324" s="1409">
        <f t="shared" si="157"/>
        <v>0</v>
      </c>
      <c r="R324" s="1410">
        <f t="shared" ref="R324:T325" si="173">SUM(R322)</f>
        <v>0</v>
      </c>
      <c r="S324" s="1410">
        <f t="shared" si="173"/>
        <v>0</v>
      </c>
      <c r="T324" s="1411">
        <f t="shared" si="173"/>
        <v>0</v>
      </c>
      <c r="U324" s="1409">
        <f t="shared" si="158"/>
        <v>0</v>
      </c>
      <c r="V324" s="1410">
        <f t="shared" ref="V324:X325" si="174">SUM(V322)</f>
        <v>0</v>
      </c>
      <c r="W324" s="1410">
        <f t="shared" si="174"/>
        <v>0</v>
      </c>
      <c r="X324" s="1412">
        <f t="shared" si="174"/>
        <v>0</v>
      </c>
    </row>
    <row r="325" spans="1:25" s="1356" customFormat="1" ht="14.25" hidden="1" customHeight="1" thickBot="1" x14ac:dyDescent="0.25">
      <c r="A325" s="2844"/>
      <c r="B325" s="2845"/>
      <c r="C325" s="3824"/>
      <c r="D325" s="3829"/>
      <c r="E325" s="3857"/>
      <c r="F325" s="3788"/>
      <c r="G325" s="3789"/>
      <c r="H325" s="3790"/>
      <c r="I325" s="1409">
        <f>SUM(J325+L325)</f>
        <v>0</v>
      </c>
      <c r="J325" s="1410">
        <f t="shared" si="171"/>
        <v>0</v>
      </c>
      <c r="K325" s="1410">
        <f t="shared" si="171"/>
        <v>0</v>
      </c>
      <c r="L325" s="1411">
        <f t="shared" si="171"/>
        <v>0</v>
      </c>
      <c r="M325" s="1435">
        <f t="shared" si="156"/>
        <v>0</v>
      </c>
      <c r="N325" s="1436">
        <f t="shared" si="172"/>
        <v>0</v>
      </c>
      <c r="O325" s="1436">
        <f t="shared" si="172"/>
        <v>0</v>
      </c>
      <c r="P325" s="1437">
        <f t="shared" si="172"/>
        <v>0</v>
      </c>
      <c r="Q325" s="1409">
        <f t="shared" si="157"/>
        <v>0</v>
      </c>
      <c r="R325" s="1410">
        <f t="shared" si="173"/>
        <v>0</v>
      </c>
      <c r="S325" s="1410">
        <f t="shared" si="173"/>
        <v>0</v>
      </c>
      <c r="T325" s="1411">
        <f t="shared" si="173"/>
        <v>0</v>
      </c>
      <c r="U325" s="1409">
        <f t="shared" si="158"/>
        <v>0</v>
      </c>
      <c r="V325" s="1410">
        <f t="shared" si="174"/>
        <v>0</v>
      </c>
      <c r="W325" s="1410">
        <f t="shared" si="174"/>
        <v>0</v>
      </c>
      <c r="X325" s="1412">
        <f t="shared" si="174"/>
        <v>0</v>
      </c>
    </row>
    <row r="326" spans="1:25" s="1384" customFormat="1" ht="13.5" hidden="1" customHeight="1" x14ac:dyDescent="0.2">
      <c r="A326" s="2916">
        <v>5</v>
      </c>
      <c r="B326" s="2850">
        <v>5</v>
      </c>
      <c r="C326" s="3800">
        <v>3</v>
      </c>
      <c r="D326" s="3797"/>
      <c r="E326" s="3857">
        <v>14</v>
      </c>
      <c r="F326" s="3947" t="s">
        <v>983</v>
      </c>
      <c r="G326" s="3947" t="s">
        <v>1207</v>
      </c>
      <c r="H326" s="3950" t="s">
        <v>1236</v>
      </c>
      <c r="I326" s="1378">
        <f>SUM(J326+L326)</f>
        <v>0</v>
      </c>
      <c r="J326" s="1438"/>
      <c r="K326" s="1439"/>
      <c r="L326" s="1440"/>
      <c r="M326" s="1378">
        <f t="shared" si="156"/>
        <v>0</v>
      </c>
      <c r="N326" s="1439"/>
      <c r="O326" s="1439"/>
      <c r="P326" s="1441">
        <f>SUM(P327*3.4528)</f>
        <v>0</v>
      </c>
      <c r="Q326" s="1379">
        <f t="shared" si="157"/>
        <v>0</v>
      </c>
      <c r="R326" s="1439"/>
      <c r="S326" s="1439"/>
      <c r="T326" s="1440"/>
      <c r="U326" s="1378">
        <f t="shared" si="158"/>
        <v>0</v>
      </c>
      <c r="V326" s="1439"/>
      <c r="W326" s="1439"/>
      <c r="X326" s="1441"/>
    </row>
    <row r="327" spans="1:25" s="1384" customFormat="1" ht="13.5" hidden="1" customHeight="1" x14ac:dyDescent="0.2">
      <c r="A327" s="3956"/>
      <c r="B327" s="2851"/>
      <c r="C327" s="3958"/>
      <c r="D327" s="3960"/>
      <c r="E327" s="3857"/>
      <c r="F327" s="3948"/>
      <c r="G327" s="3948"/>
      <c r="H327" s="3951"/>
      <c r="I327" s="1385">
        <f t="shared" ref="I327:X327" si="175">I326/3.4528</f>
        <v>0</v>
      </c>
      <c r="J327" s="1386">
        <f t="shared" si="175"/>
        <v>0</v>
      </c>
      <c r="K327" s="1386">
        <f t="shared" si="175"/>
        <v>0</v>
      </c>
      <c r="L327" s="1387">
        <f t="shared" si="175"/>
        <v>0</v>
      </c>
      <c r="M327" s="1388">
        <f t="shared" si="156"/>
        <v>0</v>
      </c>
      <c r="N327" s="1386">
        <f t="shared" si="175"/>
        <v>0</v>
      </c>
      <c r="O327" s="1386">
        <f t="shared" si="175"/>
        <v>0</v>
      </c>
      <c r="P327" s="1390"/>
      <c r="Q327" s="1389">
        <f t="shared" si="175"/>
        <v>0</v>
      </c>
      <c r="R327" s="1386">
        <f t="shared" si="175"/>
        <v>0</v>
      </c>
      <c r="S327" s="1386">
        <f t="shared" si="175"/>
        <v>0</v>
      </c>
      <c r="T327" s="1387">
        <f t="shared" si="175"/>
        <v>0</v>
      </c>
      <c r="U327" s="1385">
        <f t="shared" si="175"/>
        <v>0</v>
      </c>
      <c r="V327" s="1386">
        <f t="shared" si="175"/>
        <v>0</v>
      </c>
      <c r="W327" s="1386">
        <f t="shared" si="175"/>
        <v>0</v>
      </c>
      <c r="X327" s="1390">
        <f t="shared" si="175"/>
        <v>0</v>
      </c>
    </row>
    <row r="328" spans="1:25" s="1356" customFormat="1" ht="12.75" hidden="1" customHeight="1" x14ac:dyDescent="0.2">
      <c r="A328" s="3956"/>
      <c r="B328" s="2851"/>
      <c r="C328" s="3958"/>
      <c r="D328" s="3960"/>
      <c r="E328" s="3857"/>
      <c r="F328" s="3948"/>
      <c r="G328" s="3948"/>
      <c r="H328" s="3928" t="s">
        <v>30</v>
      </c>
      <c r="I328" s="1399">
        <f>SUM(J328+L328)</f>
        <v>0</v>
      </c>
      <c r="J328" s="1432"/>
      <c r="K328" s="1432"/>
      <c r="L328" s="1433"/>
      <c r="M328" s="1399">
        <f t="shared" si="156"/>
        <v>0</v>
      </c>
      <c r="N328" s="1442"/>
      <c r="O328" s="1432"/>
      <c r="P328" s="1443">
        <f>SUM(P329*3.4528)</f>
        <v>0</v>
      </c>
      <c r="Q328" s="1444">
        <f>SUM(R328+T328)</f>
        <v>0</v>
      </c>
      <c r="R328" s="1432"/>
      <c r="S328" s="1432"/>
      <c r="T328" s="1433"/>
      <c r="U328" s="1399">
        <f>SUM(V328+X328)</f>
        <v>0</v>
      </c>
      <c r="V328" s="1445"/>
      <c r="W328" s="1446"/>
      <c r="X328" s="1447"/>
    </row>
    <row r="329" spans="1:25" s="1356" customFormat="1" ht="13.5" hidden="1" customHeight="1" thickBot="1" x14ac:dyDescent="0.25">
      <c r="A329" s="3956"/>
      <c r="B329" s="2851"/>
      <c r="C329" s="3958"/>
      <c r="D329" s="3960"/>
      <c r="E329" s="3857"/>
      <c r="F329" s="3949"/>
      <c r="G329" s="3949"/>
      <c r="H329" s="3952"/>
      <c r="I329" s="1401">
        <f t="shared" ref="I329:X329" si="176">I328/3.4528</f>
        <v>0</v>
      </c>
      <c r="J329" s="1402">
        <f t="shared" si="176"/>
        <v>0</v>
      </c>
      <c r="K329" s="1402">
        <f t="shared" si="176"/>
        <v>0</v>
      </c>
      <c r="L329" s="1403">
        <f t="shared" si="176"/>
        <v>0</v>
      </c>
      <c r="M329" s="1434">
        <f t="shared" si="156"/>
        <v>0</v>
      </c>
      <c r="N329" s="1405">
        <f t="shared" si="176"/>
        <v>0</v>
      </c>
      <c r="O329" s="1405">
        <f t="shared" si="176"/>
        <v>0</v>
      </c>
      <c r="P329" s="1406"/>
      <c r="Q329" s="1448">
        <f t="shared" si="176"/>
        <v>0</v>
      </c>
      <c r="R329" s="1402">
        <f t="shared" si="176"/>
        <v>0</v>
      </c>
      <c r="S329" s="1402">
        <f t="shared" si="176"/>
        <v>0</v>
      </c>
      <c r="T329" s="1403">
        <f t="shared" si="176"/>
        <v>0</v>
      </c>
      <c r="U329" s="1401">
        <f t="shared" si="176"/>
        <v>0</v>
      </c>
      <c r="V329" s="1402">
        <f t="shared" si="176"/>
        <v>0</v>
      </c>
      <c r="W329" s="1402">
        <f t="shared" si="176"/>
        <v>0</v>
      </c>
      <c r="X329" s="1449">
        <f t="shared" si="176"/>
        <v>0</v>
      </c>
    </row>
    <row r="330" spans="1:25" s="1356" customFormat="1" ht="16.5" hidden="1" customHeight="1" thickBot="1" x14ac:dyDescent="0.25">
      <c r="A330" s="3956"/>
      <c r="B330" s="2851"/>
      <c r="C330" s="3958"/>
      <c r="D330" s="3960"/>
      <c r="E330" s="3857"/>
      <c r="F330" s="2817" t="s">
        <v>35</v>
      </c>
      <c r="G330" s="2818"/>
      <c r="H330" s="2819"/>
      <c r="I330" s="1409">
        <f>SUM(J330+L330)</f>
        <v>0</v>
      </c>
      <c r="J330" s="1410">
        <f t="shared" ref="J330:L331" si="177">SUM(J328,J326)</f>
        <v>0</v>
      </c>
      <c r="K330" s="1410">
        <f t="shared" si="177"/>
        <v>0</v>
      </c>
      <c r="L330" s="1411">
        <f t="shared" si="177"/>
        <v>0</v>
      </c>
      <c r="M330" s="1414">
        <f t="shared" si="156"/>
        <v>0</v>
      </c>
      <c r="N330" s="1415">
        <f t="shared" ref="N330:P331" si="178">SUM(N328,N326)</f>
        <v>0</v>
      </c>
      <c r="O330" s="1415">
        <f t="shared" si="178"/>
        <v>0</v>
      </c>
      <c r="P330" s="1416">
        <f t="shared" si="178"/>
        <v>0</v>
      </c>
      <c r="Q330" s="1409">
        <f>SUM(R330+T330)</f>
        <v>0</v>
      </c>
      <c r="R330" s="1410">
        <f t="shared" ref="R330:T331" si="179">SUM(R328,R326)</f>
        <v>0</v>
      </c>
      <c r="S330" s="1410">
        <f t="shared" si="179"/>
        <v>0</v>
      </c>
      <c r="T330" s="1410">
        <f t="shared" si="179"/>
        <v>0</v>
      </c>
      <c r="U330" s="1409">
        <f>SUM(V330+X330)</f>
        <v>0</v>
      </c>
      <c r="V330" s="1410">
        <f t="shared" ref="V330:X331" si="180">SUM(V328,V326)</f>
        <v>0</v>
      </c>
      <c r="W330" s="1410">
        <f t="shared" si="180"/>
        <v>0</v>
      </c>
      <c r="X330" s="1412">
        <f t="shared" si="180"/>
        <v>0</v>
      </c>
    </row>
    <row r="331" spans="1:25" s="1356" customFormat="1" ht="16.5" hidden="1" customHeight="1" thickBot="1" x14ac:dyDescent="0.25">
      <c r="A331" s="3957"/>
      <c r="B331" s="2852"/>
      <c r="C331" s="3959"/>
      <c r="D331" s="3961"/>
      <c r="E331" s="3909"/>
      <c r="F331" s="3788"/>
      <c r="G331" s="3789"/>
      <c r="H331" s="3790"/>
      <c r="I331" s="1409">
        <f>SUM(J331+L331)</f>
        <v>0</v>
      </c>
      <c r="J331" s="1410">
        <f t="shared" si="177"/>
        <v>0</v>
      </c>
      <c r="K331" s="1410">
        <f t="shared" si="177"/>
        <v>0</v>
      </c>
      <c r="L331" s="1411">
        <f t="shared" si="177"/>
        <v>0</v>
      </c>
      <c r="M331" s="1409">
        <f t="shared" si="156"/>
        <v>0</v>
      </c>
      <c r="N331" s="1410">
        <f t="shared" si="178"/>
        <v>0</v>
      </c>
      <c r="O331" s="1410">
        <f t="shared" si="178"/>
        <v>0</v>
      </c>
      <c r="P331" s="1412">
        <f t="shared" si="178"/>
        <v>0</v>
      </c>
      <c r="Q331" s="1409">
        <f>SUM(R331+T331)</f>
        <v>0</v>
      </c>
      <c r="R331" s="1410">
        <f t="shared" si="179"/>
        <v>0</v>
      </c>
      <c r="S331" s="1410">
        <f t="shared" si="179"/>
        <v>0</v>
      </c>
      <c r="T331" s="1410">
        <f t="shared" si="179"/>
        <v>0</v>
      </c>
      <c r="U331" s="1409">
        <f>SUM(V331+X331)</f>
        <v>0</v>
      </c>
      <c r="V331" s="1410">
        <f t="shared" si="180"/>
        <v>0</v>
      </c>
      <c r="W331" s="1410">
        <f t="shared" si="180"/>
        <v>0</v>
      </c>
      <c r="X331" s="1412">
        <f t="shared" si="180"/>
        <v>0</v>
      </c>
    </row>
    <row r="332" spans="1:25" s="1356" customFormat="1" ht="13.5" hidden="1" customHeight="1" thickBot="1" x14ac:dyDescent="0.25">
      <c r="A332" s="2132">
        <v>5</v>
      </c>
      <c r="B332" s="1450">
        <v>5</v>
      </c>
      <c r="C332" s="2860" t="s">
        <v>234</v>
      </c>
      <c r="D332" s="2861"/>
      <c r="E332" s="2861"/>
      <c r="F332" s="2861"/>
      <c r="G332" s="2861"/>
      <c r="H332" s="2862"/>
      <c r="I332" s="1451">
        <f t="shared" ref="I332:X332" si="181">SUM(I316,I320,I324,I330)</f>
        <v>0</v>
      </c>
      <c r="J332" s="1452">
        <f t="shared" si="181"/>
        <v>0</v>
      </c>
      <c r="K332" s="1452">
        <f t="shared" si="181"/>
        <v>0</v>
      </c>
      <c r="L332" s="1452">
        <f t="shared" si="181"/>
        <v>0</v>
      </c>
      <c r="M332" s="1451">
        <f t="shared" si="181"/>
        <v>0</v>
      </c>
      <c r="N332" s="1452">
        <f t="shared" si="181"/>
        <v>0</v>
      </c>
      <c r="O332" s="1452">
        <f t="shared" si="181"/>
        <v>0</v>
      </c>
      <c r="P332" s="1452">
        <f t="shared" si="181"/>
        <v>0</v>
      </c>
      <c r="Q332" s="1451">
        <f t="shared" si="181"/>
        <v>0</v>
      </c>
      <c r="R332" s="1452">
        <f t="shared" si="181"/>
        <v>0</v>
      </c>
      <c r="S332" s="1453">
        <f t="shared" si="181"/>
        <v>0</v>
      </c>
      <c r="T332" s="1454">
        <f t="shared" si="181"/>
        <v>0</v>
      </c>
      <c r="U332" s="1451">
        <f t="shared" si="181"/>
        <v>0</v>
      </c>
      <c r="V332" s="1452">
        <f t="shared" si="181"/>
        <v>0</v>
      </c>
      <c r="W332" s="1453">
        <f t="shared" si="181"/>
        <v>0</v>
      </c>
      <c r="X332" s="1454">
        <f t="shared" si="181"/>
        <v>0</v>
      </c>
    </row>
    <row r="333" spans="1:25" s="1245" customFormat="1" ht="21.75" customHeight="1" thickBot="1" x14ac:dyDescent="0.25">
      <c r="A333" s="1455">
        <v>3</v>
      </c>
      <c r="B333" s="3953" t="s">
        <v>167</v>
      </c>
      <c r="C333" s="3954"/>
      <c r="D333" s="3954"/>
      <c r="E333" s="3954"/>
      <c r="F333" s="3954"/>
      <c r="G333" s="3954"/>
      <c r="H333" s="3955"/>
      <c r="I333" s="1456">
        <f>L333+J333</f>
        <v>358.29999999999995</v>
      </c>
      <c r="J333" s="1457">
        <f>SUM(J277+J303+J310)</f>
        <v>168.6</v>
      </c>
      <c r="K333" s="1457">
        <f>SUM(K277+K303+K310)</f>
        <v>0</v>
      </c>
      <c r="L333" s="1457">
        <f>SUM(L277+L303+L310)</f>
        <v>189.7</v>
      </c>
      <c r="M333" s="1458">
        <f>P333+N333</f>
        <v>1776.6</v>
      </c>
      <c r="N333" s="1457">
        <f>SUM(N277+N303+N310)</f>
        <v>339</v>
      </c>
      <c r="O333" s="1457">
        <f>SUM(O277+O303+O310)</f>
        <v>0</v>
      </c>
      <c r="P333" s="1459">
        <f>SUM(P277+P303+P310)</f>
        <v>1437.6</v>
      </c>
      <c r="Q333" s="1460">
        <f>T333+R333</f>
        <v>2845.1</v>
      </c>
      <c r="R333" s="1457">
        <f>SUM(R277+R303+R310)</f>
        <v>315.10000000000002</v>
      </c>
      <c r="S333" s="1457">
        <f>SUM(S277+S303+S310)</f>
        <v>0</v>
      </c>
      <c r="T333" s="1457">
        <f>SUM(T277+T303+T310)</f>
        <v>2530</v>
      </c>
      <c r="U333" s="1456">
        <f>X333+V333</f>
        <v>445.1</v>
      </c>
      <c r="V333" s="1457">
        <f>SUM(V277+V303+V310)</f>
        <v>315.10000000000002</v>
      </c>
      <c r="W333" s="1457">
        <f>SUM(W277+W303+W310)</f>
        <v>0</v>
      </c>
      <c r="X333" s="1459">
        <f>SUM(X277+X303+X310)</f>
        <v>130</v>
      </c>
    </row>
    <row r="334" spans="1:25" s="1245" customFormat="1" ht="21.75" customHeight="1" thickBot="1" x14ac:dyDescent="0.25">
      <c r="A334" s="3963" t="s">
        <v>208</v>
      </c>
      <c r="B334" s="3964"/>
      <c r="C334" s="3964"/>
      <c r="D334" s="3964"/>
      <c r="E334" s="3964"/>
      <c r="F334" s="3964"/>
      <c r="G334" s="3964"/>
      <c r="H334" s="3965"/>
      <c r="I334" s="1461">
        <f t="shared" ref="I334:I349" si="182">SUM(J334+L334)</f>
        <v>9745.5999999999985</v>
      </c>
      <c r="J334" s="1462">
        <f>SUM(J236+J265+J333)</f>
        <v>7995.2999999999984</v>
      </c>
      <c r="K334" s="1462">
        <f>SUM(K236+K265+K333)</f>
        <v>6228.9000000000005</v>
      </c>
      <c r="L334" s="1462">
        <f>SUM(L236+L265+L333)</f>
        <v>1750.3000000000002</v>
      </c>
      <c r="M334" s="1463">
        <f>SUM(N334+P334)</f>
        <v>14369.4</v>
      </c>
      <c r="N334" s="2377">
        <f>SUM(N236+N265+N333)</f>
        <v>11057.9</v>
      </c>
      <c r="O334" s="2377">
        <f>SUM(O236+O265+O333)</f>
        <v>8148.9</v>
      </c>
      <c r="P334" s="2378">
        <f>SUM(P236+P265+P333)</f>
        <v>3311.5</v>
      </c>
      <c r="Q334" s="1461">
        <f>SUM(R334+T334)</f>
        <v>14361.900000000001</v>
      </c>
      <c r="R334" s="1462">
        <f>SUM(R236+R265+R333)</f>
        <v>10311.800000000001</v>
      </c>
      <c r="S334" s="1462">
        <f>SUM(S236+S265+S333)</f>
        <v>7940.3</v>
      </c>
      <c r="T334" s="1464">
        <f>SUM(T236+T265+T333)</f>
        <v>4050.1</v>
      </c>
      <c r="U334" s="1461">
        <f>SUM(V334+X334)</f>
        <v>11961.900000000001</v>
      </c>
      <c r="V334" s="1462">
        <f>SUM(V236+V265+V333)</f>
        <v>10311.800000000001</v>
      </c>
      <c r="W334" s="1462">
        <f>SUM(W236+W265+W333)</f>
        <v>7940.3</v>
      </c>
      <c r="X334" s="1464">
        <f>SUM(X236+X265+X333)</f>
        <v>1650.1</v>
      </c>
    </row>
    <row r="335" spans="1:25" ht="13.5" customHeight="1" x14ac:dyDescent="0.2">
      <c r="A335" s="2789" t="s">
        <v>1239</v>
      </c>
      <c r="B335" s="2790"/>
      <c r="C335" s="2790"/>
      <c r="D335" s="2790"/>
      <c r="E335" s="2790"/>
      <c r="F335" s="2790"/>
      <c r="G335" s="2790"/>
      <c r="H335" s="2791"/>
      <c r="I335" s="1465">
        <f t="shared" si="182"/>
        <v>7050.2999999999975</v>
      </c>
      <c r="J335" s="1466">
        <f>SUM(J16+J17+J18+J19+J20+J21+J23+J26+J27+J28+J29+J30+J31+J32+J33+J34+J36+J37+J39+J41+J44+J46+J48+J50+J53+J56+J58+J61+J64+J66+J68+J126+J129+J132+J135+J142+J145+J150+J159+J163+J194+J211+J224+J228+J231+J239+J242+J244+J248+J268+J271+J273+J275+J279+J282+J284+J288+J291+J293+J295+J308+J70+J73+J299+J306+J75+J79++J250+J253+J255+J257+J259+J261+J301+J81+J82+J83+J84+J85+J86+J87+J88+J89+J90+J91+J92+J93+J94+J95+J96+J97+J98+J99+J100+J101+J102+J103+J104+J105+J106+J107+J108+J109+J110+J111+J112+J113+J114+J115+J116+J117+J118+J119)</f>
        <v>6274.6999999999971</v>
      </c>
      <c r="K335" s="1466">
        <f>SUM(K16+K17+K18+K19+K20+K21+K23+K26+K27+K28+K29+K30+K31+K32+K33+K34+K36+K37+K39+K41+K44+K46+K48+K50+K53+K56+K58+K61+K64+K66+K68+K126+K129+K132+K135+K142+K145+K150+K159+K163+K194+K211+K224+K228+K231+K239+K242+K244+K248+K268+K271+K273+K275+K279+K282+K284+K288+K291+K293+K295+K308+K70+K73+K299+K306+K75+K79++K250+K253+K255+K257+K259+K261+K301+K81+K82+K83+K84+K85+K86+K87+K88+K89+K90+K91+K92+K93+K94+K95+K96+K97+K98+K99+K100+K101+K102+K103+K104+K105+K106+K107+K108+K109+K110+K111+K112+K113+K114+K115+K116+K117+K118+K119)</f>
        <v>4869.4000000000015</v>
      </c>
      <c r="L335" s="2376">
        <f>SUM(L16+L17+L18+L19+L20+L21+L23+L26+L27+L28+L29+L30+L31+L32+L33+L34+L36+L37+L39+L41+L44+L46+L48+L50+L53+L56+L58+L61+L64+L66+L68+L126+L129+L132+L135+L142+L145+L150+L159+L163+L194+L211+L224+L228+L231+L239+L242+L244+L248+L268+L271+L273+L275+L279+L282+L284+L288+L291+L293+L295+L308+L70+L73+L299+L306+L75+L79++L250+L253+L255+L257+L259+L261+L301+L81+L82+L83+L84+L85+L86+L87+L88+L89+L90+L91+L92+L93+L94+L95+L96+L97+L98+L99+L100+L101+L102+L103+L104+L105+L106+L107+L108+L109+L110+L111+L112+L113+L114+L115+L116+L117+L118+L119)</f>
        <v>775.6</v>
      </c>
      <c r="M335" s="1465">
        <f>N335+P335</f>
        <v>10453.299999999999</v>
      </c>
      <c r="N335" s="1466">
        <f>SUM(N16+N17+N18+N19+N20+N21+N23+N26+N27+N28+N29+N30+N31+N32+N33+N34+N36+N37+N39+N41+N44+N46+N48+N50+N53+N56+N58+N61+N64+N66+N68+N126+N129+N132+N135+N142+N145+N150+N159+N163+N194+N211+N224+N228+N231+N239+N242+N244+N248+N268+N271+N273+N275+N279+N282+N284+N288+N291+N293+N295+N308+N70+N73+N299+N306+N75+N79++N250+N253+N255+N257+N259+N261+N301+N81+N82+N83+N84+N85+N86+N87+N88+N89+N90+N91+N92+N93+N94+N95+N96+N97+N98+N99+N100+N101+N102+N103+N104+N105+N106+N107+N108+N109+N110+N111+N112+N113+N114+N115+N116+N117+N118+N119+N289)</f>
        <v>9249.0999999999985</v>
      </c>
      <c r="O335" s="1466">
        <f>SUM(O16+O17+O18+O19+O20+O21+O23+O26+O27+O28+O29+O30+O31+O32+O33+O34+O36+O37+O39+O41+O44+O46+O48+O50+O53+O56+O58+O61+O64+O66+O68+O126+O129+O132+O135+O142+O145+O150+O159+O163+O194+O211+O224+O228+O231+O239+O242+O244+O248+O268+O271+O273+O275+O279+O282+O284+O288+O291+O293+O295+O308+O70+O73+O299+O306+O75+O79++O250+O253+O255+O257+O259+O261+O301+O81+O82+O83+O84+O85+O86+O87+O88+O89+O90+O91+O92+O93+O94+O95+O96+O97+O98+O99+O100+O101+O102+O103+O104+O105+O106+O107+O108+O109+O110+O111+O112+O113+O114+O115+O116+O117+O118+O119+O289)</f>
        <v>6688.1</v>
      </c>
      <c r="P335" s="2319">
        <f>SUM(P16+P17+P18+P19+P20+P21+P23+P26+P27+P28+P29+P30+P31+P32+P33+P34+P36+P37+P39+P41+P44+P46+P48+P50+P53+P56+P58+P61+P64+P66+P68+P126+P129+P132+P135+P142+P145+P150+P159+P163+P194+P211+P224+P228+P231+P239+P242+P244+P248+P268+P271+P273+P275+P279+P282+P284+P288+P291+P293+P295+P308+P70+P73+P299+P306+P75+P79++P250+P253+P255+P257+P259+P261+P301+P81+P82+P83+P84+P85+P86+P87+P88+P89+P90+P91+P92+P93+P94+P95+P96+P97+P98+P99+P100+P101+P102+P103+P104+P105+P106+P107+P108+P109+P110+P111+P112+P113+P114+P115+P116+P117+P118+P119+P289)</f>
        <v>1204.2</v>
      </c>
      <c r="Q335" s="1465">
        <f>R335+T335</f>
        <v>11796.900000000001</v>
      </c>
      <c r="R335" s="1466">
        <f>SUM(R16+R17+R18+R19+R20+R21+R23+R26+R27+R28+R29+R30+R31+R32+R33+R34+R36+R37+R39+R41+R44+R46+R48+R50+R53+R56+R58+R61+R64+R66+R68+R126+R129+R132+R135+R142+R145+R150+R159+R163+R194+R211+R224+R228+R231+R239+R242+R244+R248+R268+R271+R273+R275+R279+R282+R284+R288+R291+R293+R295+R308+R70+R73+R299+R306+R75+R79++R250+R253+R255+R257+R259+R261+R301+R81+R82+R83+R84+R85+R86+R87+R88+R89+R90+R91+R92+R93+R94+R95+R96+R97+R98+R99+R100+R101+R102+R103+R104+R105+R106+R107+R108+R109+R110+R111+R112+R113+R114+R115+R116+R117+R118+R119)</f>
        <v>8659.1</v>
      </c>
      <c r="S335" s="1466">
        <f>SUM(S16+S17+S18+S19+S20+S21+S23+S26+S27+S28+S29+S30+S31+S32+S33+S34+S36+S37+S39+S41+S44+S46+S48+S50+S53+S56+S58+S61+S64+S66+S68+S126+S129+S132+S135+S142+S145+S150+S159+S163+S194+S211+S224+S228+S231+S239+S242+S244+S248+S268+S271+S273+S275+S279+S282+S284+S288+S291+S293+S295+S308+S70+S73+S299+S306+S75+S79++S250+S253+S255+S257+S259+S261+S301+S81+S82+S83+S84+S85+S86+S87+S88+S89+S90+S91+S92+S93+S94+S95+S96+S97+S98+S99+S100+S101+S102+S103+S104+S105+S106+S107+S108+S109+S110+S111+S112+S113+S114+S115+S116+S117+S118+S119)</f>
        <v>6545.7999999999993</v>
      </c>
      <c r="T335" s="1466">
        <f>SUM(T16+T17+T18+T19+T20+T21+T23+T26+T27+T28+T29+T30+T31+T32+T33+T34+T36+T37+T39+T41+T44+T46+T48+T50+T53+T56+T58+T61+T64+T66+T68+T126+T129+T132+T135+T142+T145+T150+T159+T163+T194+T211+T224+T228+T231+T239+T242+T244+T248+T268+T271+T273+T275+T279+T282+T284+T288+T291+T293+T295+T308+T70+T73+T299+T306+T75+T79++T250+T253+T255+T257+T259+T261+T301+T81+T82+T83+T84+T85+T86+T87+T88+T89+T90+T91+T92+T93+T94+T95+T96+T97+T98+T99+T100+T101+T102+T103+T104+T105+T106+T107+T108+T109+T110+T111+T112+T113+T114+T115+T116+T117+T118+T119)</f>
        <v>3137.8</v>
      </c>
      <c r="U335" s="1465">
        <f>V335+X335</f>
        <v>10309.200000000001</v>
      </c>
      <c r="V335" s="1466">
        <f>SUM(V16+V17+V18+V19+V20+V21+V23+V26+V27+V28+V29+V30+V31+V32+V33+V34+V36+V37+V39+V41+V44+V46+V48+V50+V53+V56+V58+V61+V64+V66+V68+V126+V129+V132+V135+V142+V145+V150+V159+V163+V194+V211+V224+V228+V231+V239+V242+V244+V248+V268+V271+V273+V275+V279+V282+V284+V288+V291+V293+V295+V308+V70+V73+V299+V306+V75+V79++V250+V253+V255+V257+V259+V261+V301+V81+V82+V83+V84+V85+V86+V87+V88+V89+V90+V91+V92+V93+V94+V95+V96+V97+V98+V99+V100+V101+V102+V103+V104+V105+V106+V107+V108+V109+V110+V111+V112+V113+V114+V115+V116+V117+V118+V119)</f>
        <v>8659.1</v>
      </c>
      <c r="W335" s="1466">
        <f>SUM(W16+W17+W18+W19+W20+W21+W23+W26+W27+W28+W29+W30+W31+W32+W33+W34+W36+W37+W39+W41+W44+W46+W48+W50+W53+W56+W58+W61+W64+W66+W68+W126+W129+W132+W135+W142+W145+W150+W159+W163+W194+W211+W224+W228+W231+W239+W242+W244+W248+W268+W271+W273+W275+W279+W282+W284+W288+W291+W293+W295+W308+W70+W73+W299+W306+W75+W79++W250+W253+W255+W257+W259+W261+W301+W81+W82+W83+W84+W85+W86+W87+W88+W89+W90+W91+W92+W93+W94+W95+W96+W97+W98+W99+W100+W101+W102+W103+W104+W105+W106+W107+W108+W109+W110+W111+W112+W113+W114+W115+W116+W117+W118+W119)</f>
        <v>6545.7999999999993</v>
      </c>
      <c r="X335" s="2319">
        <f>SUM(X16+X17+X18+X19+X20+X21+X23+X26+X27+X28+X29+X30+X31+X32+X33+X34+X36+X37+X39+X41+X44+X46+X48+X50+X53+X56+X58+X61+X64+X66+X68+X126+X129+X132+X135+X142+X145+X150+X159+X163+X194+X211+X224+X228+X231+X239+X242+X244+X248+X268+X271+X273+X275+X279+X282+X284+X288+X291+X293+X295+X308+X70+X73+X299+X306+X75+X79++X250+X253+X255+X257+X259+X261+X301+X81+X82+X83+X84+X85+X86+X87+X88+X89+X90+X91+X92+X93+X94+X95+X96+X97+X98+X99+X100+X101+X102+X103+X104+X105+X106+X107+X108+X109+X110+X111+X112+X113+X114+X115+X116+X117+X118+X119)</f>
        <v>1650.1</v>
      </c>
      <c r="Y335" s="354"/>
    </row>
    <row r="336" spans="1:25" ht="13.5" customHeight="1" x14ac:dyDescent="0.2">
      <c r="A336" s="2769" t="s">
        <v>1240</v>
      </c>
      <c r="B336" s="2770"/>
      <c r="C336" s="2770"/>
      <c r="D336" s="2770"/>
      <c r="E336" s="2770"/>
      <c r="F336" s="2770"/>
      <c r="G336" s="2770"/>
      <c r="H336" s="2771"/>
      <c r="I336" s="1467">
        <f t="shared" si="182"/>
        <v>1269.0000000000005</v>
      </c>
      <c r="J336" s="1468">
        <f>SUM(J125+J128+J131+J134+J137+J139+J141+J144+J149+J151+J152+J153+J154+J155+J156+J157+J160+J167+J168+J169+J196+J212+J214+J216+J166+J218+J123+J80)</f>
        <v>1269.0000000000005</v>
      </c>
      <c r="K336" s="1468">
        <f>SUM(K125+K128+K131+K134+K137+K139+K141+K144+K149+K151+K152+K153+K154+K155+K156+K157+K160+K167+K168+K169+K196+K212+K214+K216+K166+K218+K123+K80)</f>
        <v>1177.5999999999999</v>
      </c>
      <c r="L336" s="1469">
        <f>SUM(L125+L128+L131+L134+L137+L139+L141+L144+L149+L151+L152+L153+L154+L155+L156+L157+L160+L167+L168+L169+L196+L212+L214+L216+L166+L218+L123+L80)</f>
        <v>0</v>
      </c>
      <c r="M336" s="1467">
        <f t="shared" ref="M336" si="183">N336+P336</f>
        <v>1356.1000000000001</v>
      </c>
      <c r="N336" s="1468">
        <f>SUM(N125+N128+N131+N134+N137+N139+N141+N144+N149+N151+N152+N153+N154+N155+N156+N157+N160+N167+N168+N169+N196+N212+N214+N216+N166+N218+N123+N80+N220)</f>
        <v>1356.1000000000001</v>
      </c>
      <c r="O336" s="1468">
        <f>SUM(O125+O128+O131+O134+O137+O139+O141+O144+O149+O151+O152+O153+O154+O155+O156+O157+O160+O167+O168+O169+O196+O212+O214+O216+O166+O218+O123+O80+O220)</f>
        <v>1260.4000000000001</v>
      </c>
      <c r="P336" s="1471">
        <f>SUM(P125+P128+P131+P134+P137+P139+P141+P144+P149+P151+P152+P153+P154+P155+P156+P157+P160+P167+P168+P169+P196+P212+P214+P216+P166+P218+P123+P80)</f>
        <v>0</v>
      </c>
      <c r="Q336" s="1467">
        <f t="shared" ref="Q336" si="184">R336+T336</f>
        <v>1335.9</v>
      </c>
      <c r="R336" s="1468">
        <f>SUM(R125+R128+R131+R134+R137+R139+R141+R144+R149+R151+R152+R153+R154+R155+R156+R157+R160+R167+R168+R169+R196+R212+R214+R216+R166+R218+R123+R80+R220)</f>
        <v>1335.9</v>
      </c>
      <c r="S336" s="1468">
        <f>SUM(S125+S128+S131+S134+S137+S139+S141+S144+S149+S151+S152+S153+S154+S155+S156+S157+S160+S167+S168+S169+S196+S212+S214+S216+S166+S218+S123+S80+S220)</f>
        <v>1194.1000000000001</v>
      </c>
      <c r="T336" s="1468">
        <f>SUM(T125+T128+T131+T134+T137+T139+T141+T144+T149+T151+T152+T153+T154+T155+T156+T157+T160+T167+T168+T169+T196+T212+T214+T216+T166+T218+T123+T80)</f>
        <v>0</v>
      </c>
      <c r="U336" s="1467">
        <f t="shared" ref="U336" si="185">V336+X336</f>
        <v>1335.9</v>
      </c>
      <c r="V336" s="1468">
        <f>SUM(V125+V128+V131+V134+V137+V139+V141+V144+V149+V151+V152+V153+V154+V155+V156+V157+V160+V167+V168+V169+V196+V212+V214+V216+V166+V218+V123+V80+V220)</f>
        <v>1335.9</v>
      </c>
      <c r="W336" s="1468">
        <f>SUM(W125+W128+W131+W134+W137+W139+W141+W144+W149+W151+W152+W153+W154+W155+W156+W157+W160+W167+W168+W169+W196+W212+W214+W216+W166+W218+W123+W80+W220)</f>
        <v>1194.1000000000001</v>
      </c>
      <c r="X336" s="1471">
        <f>SUM(X125+X128+X131+X134+X137+X139+X141+X144+X149+X151+X152+X153+X154+X155+X156+X157+X160+X167+X168+X169+X196+X212+X214+X216+X166+X218+X123+X80)</f>
        <v>0</v>
      </c>
      <c r="Y336" s="354"/>
    </row>
    <row r="337" spans="1:25" ht="13.5" customHeight="1" x14ac:dyDescent="0.2">
      <c r="A337" s="2772" t="s">
        <v>220</v>
      </c>
      <c r="B337" s="2773"/>
      <c r="C337" s="2773"/>
      <c r="D337" s="2773"/>
      <c r="E337" s="2773"/>
      <c r="F337" s="2773"/>
      <c r="G337" s="2773"/>
      <c r="H337" s="2773"/>
      <c r="I337" s="1467">
        <f t="shared" si="182"/>
        <v>968.2</v>
      </c>
      <c r="J337" s="1468">
        <f>SUM(J232,J296)</f>
        <v>0</v>
      </c>
      <c r="K337" s="1468">
        <f>SUM(K232,K296)</f>
        <v>0</v>
      </c>
      <c r="L337" s="1469">
        <f>SUM(L232,L296)</f>
        <v>968.2</v>
      </c>
      <c r="M337" s="1467">
        <f t="shared" ref="M337" si="186">N337+P337</f>
        <v>400</v>
      </c>
      <c r="N337" s="1468">
        <f>SUM(N280)</f>
        <v>0</v>
      </c>
      <c r="O337" s="1468">
        <f t="shared" ref="O337:P337" si="187">SUM(O280)</f>
        <v>0</v>
      </c>
      <c r="P337" s="1471">
        <f t="shared" si="187"/>
        <v>400</v>
      </c>
      <c r="Q337" s="1467">
        <f t="shared" ref="Q337:Q350" si="188">SUM(R337+T337)</f>
        <v>912.3</v>
      </c>
      <c r="R337" s="1468">
        <f>SUM(R280)</f>
        <v>0</v>
      </c>
      <c r="S337" s="1468">
        <f t="shared" ref="S337:T337" si="189">SUM(S280)</f>
        <v>0</v>
      </c>
      <c r="T337" s="1468">
        <f t="shared" si="189"/>
        <v>912.3</v>
      </c>
      <c r="U337" s="1467">
        <f t="shared" ref="U337:U350" si="190">SUM(V337+X337)</f>
        <v>0</v>
      </c>
      <c r="V337" s="1468">
        <f>SUM(V232,V296)</f>
        <v>0</v>
      </c>
      <c r="W337" s="1468">
        <f>SUM(W232,W296)</f>
        <v>0</v>
      </c>
      <c r="X337" s="1471">
        <f>SUM(X232,X296)</f>
        <v>0</v>
      </c>
      <c r="Y337" s="354"/>
    </row>
    <row r="338" spans="1:25" ht="25.5" customHeight="1" x14ac:dyDescent="0.2">
      <c r="A338" s="2769" t="s">
        <v>1241</v>
      </c>
      <c r="B338" s="2770"/>
      <c r="C338" s="2770"/>
      <c r="D338" s="2770"/>
      <c r="E338" s="2770"/>
      <c r="F338" s="2770"/>
      <c r="G338" s="2770"/>
      <c r="H338" s="2771"/>
      <c r="I338" s="1467">
        <f t="shared" si="182"/>
        <v>211.9</v>
      </c>
      <c r="J338" s="1468">
        <f>SUM(J164+J165+J193)</f>
        <v>211.9</v>
      </c>
      <c r="K338" s="1468">
        <f>SUM(K164+K165+K193)</f>
        <v>171.5</v>
      </c>
      <c r="L338" s="1469">
        <f>SUM(L164+L165+L193)</f>
        <v>0</v>
      </c>
      <c r="M338" s="1467">
        <f t="shared" ref="M338:M350" si="191">SUM(N338+P338)</f>
        <v>218.3</v>
      </c>
      <c r="N338" s="1470">
        <f>SUM(N164+N165+N193)</f>
        <v>218.3</v>
      </c>
      <c r="O338" s="1468">
        <f>SUM(O164+O165+O193)</f>
        <v>191</v>
      </c>
      <c r="P338" s="1471">
        <f>SUM(P164+P165+P193)</f>
        <v>0</v>
      </c>
      <c r="Q338" s="1467">
        <f t="shared" si="188"/>
        <v>218.3</v>
      </c>
      <c r="R338" s="1470">
        <f>SUM(R164+R165+R193)</f>
        <v>218.3</v>
      </c>
      <c r="S338" s="1468">
        <f>SUM(S164+S165+S193)</f>
        <v>191</v>
      </c>
      <c r="T338" s="1469">
        <f>SUM(T164+T165+T193)</f>
        <v>0</v>
      </c>
      <c r="U338" s="1467">
        <f t="shared" si="190"/>
        <v>218.3</v>
      </c>
      <c r="V338" s="1468">
        <f>SUM(V164+V165+V193)</f>
        <v>218.3</v>
      </c>
      <c r="W338" s="799">
        <f>SUM(W164+W165+W193)</f>
        <v>191</v>
      </c>
      <c r="X338" s="800">
        <f>SUM(X164+X165+X193)</f>
        <v>0</v>
      </c>
      <c r="Y338" s="354"/>
    </row>
    <row r="339" spans="1:25" ht="13.5" customHeight="1" x14ac:dyDescent="0.2">
      <c r="A339" s="2464" t="s">
        <v>829</v>
      </c>
      <c r="B339" s="2465"/>
      <c r="C339" s="2465"/>
      <c r="D339" s="2465"/>
      <c r="E339" s="2465"/>
      <c r="F339" s="2465"/>
      <c r="G339" s="2465"/>
      <c r="H339" s="3962"/>
      <c r="I339" s="1467">
        <f t="shared" si="182"/>
        <v>16.100000000000001</v>
      </c>
      <c r="J339" s="1468">
        <f>SUM(J25+J42+J51+J54+J59+J62+J161+J285)</f>
        <v>16.100000000000001</v>
      </c>
      <c r="K339" s="1468">
        <f>SUM(K25+K42+K51+K54+K59+K62+K161+K285)</f>
        <v>0</v>
      </c>
      <c r="L339" s="1469">
        <f>SUM(L25+L42+L51+L54+L59+L62+L161+L285)</f>
        <v>0</v>
      </c>
      <c r="M339" s="1467">
        <f t="shared" si="191"/>
        <v>58.1</v>
      </c>
      <c r="N339" s="1468">
        <f>SUM(N25+N42+N51+N54+N59+N62+N161+N285)</f>
        <v>58.1</v>
      </c>
      <c r="O339" s="1468">
        <f>SUM(O25+O42+O51+O54+O59+O62+O161+O285)</f>
        <v>0</v>
      </c>
      <c r="P339" s="1471">
        <f>SUM(P25+P42+P51+P54+P59+P62+P161+P285)</f>
        <v>0</v>
      </c>
      <c r="Q339" s="1467">
        <f t="shared" si="188"/>
        <v>58.1</v>
      </c>
      <c r="R339" s="1468">
        <f>SUM(R25+R42+R51+R54+R59+R62+R161+R285)</f>
        <v>58.1</v>
      </c>
      <c r="S339" s="1468">
        <f>SUM(S25+S42+S51+S54+S59+S62+S161+S285)</f>
        <v>0</v>
      </c>
      <c r="T339" s="1469">
        <f>SUM(T25+T42+T51+T54+T59+T62+T161+T285)</f>
        <v>0</v>
      </c>
      <c r="U339" s="1467">
        <f t="shared" si="190"/>
        <v>58.1</v>
      </c>
      <c r="V339" s="1468">
        <f>SUM(V25+V42+V51+V54+V59+V62+V161+V285)</f>
        <v>58.1</v>
      </c>
      <c r="W339" s="1468">
        <f>SUM(W25+W42+W51+W54+W59+W62+W161+W285)</f>
        <v>0</v>
      </c>
      <c r="X339" s="1471">
        <f>SUM(X25+X42+X51+X54+X59+X62+X161+X285)</f>
        <v>0</v>
      </c>
      <c r="Y339" s="354"/>
    </row>
    <row r="340" spans="1:25" ht="13.5" customHeight="1" x14ac:dyDescent="0.2">
      <c r="A340" s="2467" t="s">
        <v>1242</v>
      </c>
      <c r="B340" s="2468"/>
      <c r="C340" s="2468"/>
      <c r="D340" s="2468"/>
      <c r="E340" s="2468"/>
      <c r="F340" s="2468"/>
      <c r="G340" s="2468"/>
      <c r="H340" s="2469"/>
      <c r="I340" s="1467">
        <f t="shared" si="182"/>
        <v>21.7</v>
      </c>
      <c r="J340" s="1468">
        <f>SUM(J286)</f>
        <v>21.7</v>
      </c>
      <c r="K340" s="1468">
        <f>SUM(K286)</f>
        <v>0</v>
      </c>
      <c r="L340" s="1469">
        <f>SUM(L286)</f>
        <v>0</v>
      </c>
      <c r="M340" s="1467">
        <f t="shared" si="191"/>
        <v>53.9</v>
      </c>
      <c r="N340" s="1468">
        <f>SUM(N286)</f>
        <v>53.9</v>
      </c>
      <c r="O340" s="1468">
        <f>SUM(O286)</f>
        <v>0</v>
      </c>
      <c r="P340" s="1471">
        <f>SUM(P286)</f>
        <v>0</v>
      </c>
      <c r="Q340" s="1467">
        <f t="shared" si="188"/>
        <v>0</v>
      </c>
      <c r="R340" s="1468">
        <f>SUM(R286)</f>
        <v>0</v>
      </c>
      <c r="S340" s="1468">
        <f>SUM(S286)</f>
        <v>0</v>
      </c>
      <c r="T340" s="1469">
        <f>SUM(T286)</f>
        <v>0</v>
      </c>
      <c r="U340" s="1467">
        <f t="shared" si="190"/>
        <v>0</v>
      </c>
      <c r="V340" s="1468">
        <f>SUM(V286)</f>
        <v>0</v>
      </c>
      <c r="W340" s="1468">
        <f>SUM(W286)</f>
        <v>0</v>
      </c>
      <c r="X340" s="1471">
        <f>SUM(X286)</f>
        <v>0</v>
      </c>
      <c r="Y340" s="354"/>
    </row>
    <row r="341" spans="1:25" ht="24" customHeight="1" x14ac:dyDescent="0.2">
      <c r="A341" s="2464" t="s">
        <v>1243</v>
      </c>
      <c r="B341" s="2465"/>
      <c r="C341" s="2465"/>
      <c r="D341" s="2465"/>
      <c r="E341" s="2465"/>
      <c r="F341" s="2465"/>
      <c r="G341" s="2465"/>
      <c r="H341" s="3962"/>
      <c r="I341" s="1467">
        <f t="shared" si="182"/>
        <v>5.3</v>
      </c>
      <c r="J341" s="1468">
        <f t="shared" ref="J341:L342" si="192">SUM(J147)</f>
        <v>5.3</v>
      </c>
      <c r="K341" s="1468">
        <f t="shared" si="192"/>
        <v>5.2</v>
      </c>
      <c r="L341" s="1469">
        <f t="shared" si="192"/>
        <v>0</v>
      </c>
      <c r="M341" s="1467">
        <f t="shared" si="191"/>
        <v>5.2</v>
      </c>
      <c r="N341" s="1470">
        <f t="shared" ref="N341:P342" si="193">SUM(N147)</f>
        <v>5.2</v>
      </c>
      <c r="O341" s="1468">
        <f t="shared" si="193"/>
        <v>4.7</v>
      </c>
      <c r="P341" s="1471">
        <f t="shared" si="193"/>
        <v>0</v>
      </c>
      <c r="Q341" s="1467">
        <f t="shared" si="188"/>
        <v>5.2</v>
      </c>
      <c r="R341" s="1470">
        <f t="shared" ref="R341:T342" si="194">SUM(R147)</f>
        <v>5.2</v>
      </c>
      <c r="S341" s="1468">
        <f t="shared" si="194"/>
        <v>4.7</v>
      </c>
      <c r="T341" s="1469">
        <f t="shared" si="194"/>
        <v>0</v>
      </c>
      <c r="U341" s="1467">
        <f t="shared" si="190"/>
        <v>5.2</v>
      </c>
      <c r="V341" s="1468">
        <f t="shared" ref="V341:X342" si="195">SUM(V147)</f>
        <v>5.2</v>
      </c>
      <c r="W341" s="799">
        <f t="shared" si="195"/>
        <v>4.7</v>
      </c>
      <c r="X341" s="800">
        <f t="shared" si="195"/>
        <v>0</v>
      </c>
      <c r="Y341" s="354"/>
    </row>
    <row r="342" spans="1:25" ht="26.25" customHeight="1" x14ac:dyDescent="0.2">
      <c r="A342" s="2464" t="s">
        <v>1244</v>
      </c>
      <c r="B342" s="2465"/>
      <c r="C342" s="2465"/>
      <c r="D342" s="2465"/>
      <c r="E342" s="2465"/>
      <c r="F342" s="2465"/>
      <c r="G342" s="2465"/>
      <c r="H342" s="3962"/>
      <c r="I342" s="1467">
        <f t="shared" si="182"/>
        <v>5.3</v>
      </c>
      <c r="J342" s="1468">
        <f t="shared" si="192"/>
        <v>5.3</v>
      </c>
      <c r="K342" s="1468">
        <f t="shared" si="192"/>
        <v>5.2</v>
      </c>
      <c r="L342" s="1469">
        <f t="shared" si="192"/>
        <v>0</v>
      </c>
      <c r="M342" s="1467">
        <f t="shared" si="191"/>
        <v>5.2</v>
      </c>
      <c r="N342" s="1470">
        <f t="shared" si="193"/>
        <v>5.2</v>
      </c>
      <c r="O342" s="1468">
        <f t="shared" si="193"/>
        <v>4.7</v>
      </c>
      <c r="P342" s="1471">
        <f t="shared" si="193"/>
        <v>0</v>
      </c>
      <c r="Q342" s="1467">
        <f t="shared" si="188"/>
        <v>5.2</v>
      </c>
      <c r="R342" s="1470">
        <f t="shared" si="194"/>
        <v>5.2</v>
      </c>
      <c r="S342" s="1468">
        <f t="shared" si="194"/>
        <v>4.7</v>
      </c>
      <c r="T342" s="1469">
        <f t="shared" si="194"/>
        <v>0</v>
      </c>
      <c r="U342" s="1467">
        <f t="shared" si="190"/>
        <v>5.2</v>
      </c>
      <c r="V342" s="1468">
        <f t="shared" si="195"/>
        <v>5.2</v>
      </c>
      <c r="W342" s="799">
        <f t="shared" si="195"/>
        <v>4.7</v>
      </c>
      <c r="X342" s="800">
        <f t="shared" si="195"/>
        <v>0</v>
      </c>
      <c r="Y342" s="354"/>
    </row>
    <row r="343" spans="1:25" ht="15.6" customHeight="1" x14ac:dyDescent="0.2">
      <c r="A343" s="2467" t="s">
        <v>1245</v>
      </c>
      <c r="B343" s="2468"/>
      <c r="C343" s="2468"/>
      <c r="D343" s="2468"/>
      <c r="E343" s="2468"/>
      <c r="F343" s="2468"/>
      <c r="G343" s="2468"/>
      <c r="H343" s="2468"/>
      <c r="I343" s="1467">
        <f t="shared" si="182"/>
        <v>0</v>
      </c>
      <c r="J343" s="1468">
        <f>SUM(J305+J71)</f>
        <v>0</v>
      </c>
      <c r="K343" s="1468">
        <f>SUM(K305+K71)</f>
        <v>0</v>
      </c>
      <c r="L343" s="1469">
        <f>SUM(L305+L71)</f>
        <v>0</v>
      </c>
      <c r="M343" s="1467">
        <f t="shared" si="191"/>
        <v>0</v>
      </c>
      <c r="N343" s="1468">
        <f>SUM(N305)</f>
        <v>0</v>
      </c>
      <c r="O343" s="1468">
        <f>SUM(O305)</f>
        <v>0</v>
      </c>
      <c r="P343" s="1471">
        <f>SUM(P305)</f>
        <v>0</v>
      </c>
      <c r="Q343" s="1467">
        <f t="shared" si="188"/>
        <v>0</v>
      </c>
      <c r="R343" s="1468">
        <f>SUM(R305)</f>
        <v>0</v>
      </c>
      <c r="S343" s="1468">
        <f>SUM(S305)</f>
        <v>0</v>
      </c>
      <c r="T343" s="1468">
        <f>SUM(T305)</f>
        <v>0</v>
      </c>
      <c r="U343" s="1467">
        <f t="shared" si="190"/>
        <v>0</v>
      </c>
      <c r="V343" s="1468">
        <f>SUM(V305)</f>
        <v>0</v>
      </c>
      <c r="W343" s="1468">
        <f>SUM(W305)</f>
        <v>0</v>
      </c>
      <c r="X343" s="1471">
        <f>SUM(X305)</f>
        <v>0</v>
      </c>
      <c r="Y343" s="354"/>
    </row>
    <row r="344" spans="1:25" ht="14.45" customHeight="1" x14ac:dyDescent="0.2">
      <c r="A344" s="2467" t="s">
        <v>424</v>
      </c>
      <c r="B344" s="2468"/>
      <c r="C344" s="2468"/>
      <c r="D344" s="2468"/>
      <c r="E344" s="2468"/>
      <c r="F344" s="2468"/>
      <c r="G344" s="2468"/>
      <c r="H344" s="2468"/>
      <c r="I344" s="1467">
        <f t="shared" si="182"/>
        <v>46.4</v>
      </c>
      <c r="J344" s="1468">
        <f>SUM(J240+J78)</f>
        <v>46.4</v>
      </c>
      <c r="K344" s="1468">
        <f>SUM(K240+K78)</f>
        <v>0</v>
      </c>
      <c r="L344" s="1469">
        <f>SUM(L240+L78)</f>
        <v>0</v>
      </c>
      <c r="M344" s="1467">
        <f t="shared" si="191"/>
        <v>10</v>
      </c>
      <c r="N344" s="1468">
        <f>SUM(N240)</f>
        <v>10</v>
      </c>
      <c r="O344" s="1468">
        <f>SUM(O240)</f>
        <v>0</v>
      </c>
      <c r="P344" s="1471">
        <f>SUM(P240)</f>
        <v>0</v>
      </c>
      <c r="Q344" s="1467">
        <f t="shared" si="188"/>
        <v>10</v>
      </c>
      <c r="R344" s="1468">
        <f>SUM(R24+R240)</f>
        <v>10</v>
      </c>
      <c r="S344" s="1468">
        <f>SUM(S24+S240)</f>
        <v>0</v>
      </c>
      <c r="T344" s="1468">
        <f>SUM(T24+T240)</f>
        <v>0</v>
      </c>
      <c r="U344" s="1467">
        <f t="shared" si="190"/>
        <v>10</v>
      </c>
      <c r="V344" s="1468">
        <f>SUM(V24+V240)</f>
        <v>10</v>
      </c>
      <c r="W344" s="1468">
        <f>SUM(W24+W240)</f>
        <v>0</v>
      </c>
      <c r="X344" s="1471">
        <f>SUM(X24+X240)</f>
        <v>0</v>
      </c>
      <c r="Y344" s="354"/>
    </row>
    <row r="345" spans="1:25" ht="13.5" customHeight="1" x14ac:dyDescent="0.2">
      <c r="A345" s="2467" t="s">
        <v>828</v>
      </c>
      <c r="B345" s="2468"/>
      <c r="C345" s="2468"/>
      <c r="D345" s="2468"/>
      <c r="E345" s="2468"/>
      <c r="F345" s="2468"/>
      <c r="G345" s="2468"/>
      <c r="H345" s="2468"/>
      <c r="I345" s="1467">
        <f t="shared" si="182"/>
        <v>12.7</v>
      </c>
      <c r="J345" s="1468">
        <f>SUM(J269)</f>
        <v>12.7</v>
      </c>
      <c r="K345" s="1468">
        <f>SUM(K269)</f>
        <v>0</v>
      </c>
      <c r="L345" s="1469">
        <f>SUM(L269)</f>
        <v>0</v>
      </c>
      <c r="M345" s="1467">
        <f t="shared" si="191"/>
        <v>20</v>
      </c>
      <c r="N345" s="1470">
        <f>SUM(N269)</f>
        <v>20</v>
      </c>
      <c r="O345" s="1468">
        <f>SUM(O269)</f>
        <v>0</v>
      </c>
      <c r="P345" s="1471">
        <f>SUM(P269)</f>
        <v>0</v>
      </c>
      <c r="Q345" s="1467">
        <f t="shared" si="188"/>
        <v>20</v>
      </c>
      <c r="R345" s="1470">
        <f>SUM(R269)</f>
        <v>20</v>
      </c>
      <c r="S345" s="1468">
        <f>SUM(S269)</f>
        <v>0</v>
      </c>
      <c r="T345" s="1469">
        <f>SUM(T269)</f>
        <v>0</v>
      </c>
      <c r="U345" s="1467">
        <f t="shared" si="190"/>
        <v>20</v>
      </c>
      <c r="V345" s="1468">
        <f>SUM(V269)</f>
        <v>20</v>
      </c>
      <c r="W345" s="799">
        <f>SUM(W269)</f>
        <v>0</v>
      </c>
      <c r="X345" s="800">
        <f>SUM(X269)</f>
        <v>0</v>
      </c>
      <c r="Y345" s="354"/>
    </row>
    <row r="346" spans="1:25" ht="13.5" customHeight="1" x14ac:dyDescent="0.2">
      <c r="A346" s="2467" t="s">
        <v>1246</v>
      </c>
      <c r="B346" s="2468"/>
      <c r="C346" s="2468"/>
      <c r="D346" s="2468"/>
      <c r="E346" s="2468"/>
      <c r="F346" s="2468"/>
      <c r="G346" s="2468"/>
      <c r="H346" s="2468"/>
      <c r="I346" s="1467">
        <f t="shared" si="182"/>
        <v>0.5</v>
      </c>
      <c r="J346" s="1468">
        <f>SUM(J24)</f>
        <v>0</v>
      </c>
      <c r="K346" s="1468">
        <f>SUM(K24)</f>
        <v>0</v>
      </c>
      <c r="L346" s="1469">
        <f>SUM(L24)</f>
        <v>0.5</v>
      </c>
      <c r="M346" s="1467">
        <f t="shared" si="191"/>
        <v>0</v>
      </c>
      <c r="N346" s="1470">
        <f>SUM(N24)</f>
        <v>0</v>
      </c>
      <c r="O346" s="1470">
        <f>SUM(O24)</f>
        <v>0</v>
      </c>
      <c r="P346" s="1472">
        <f>SUM(P24)</f>
        <v>0</v>
      </c>
      <c r="Q346" s="1467">
        <f t="shared" si="188"/>
        <v>0</v>
      </c>
      <c r="R346" s="1470"/>
      <c r="S346" s="1468"/>
      <c r="T346" s="1469"/>
      <c r="U346" s="1467">
        <f t="shared" si="190"/>
        <v>0</v>
      </c>
      <c r="V346" s="1468"/>
      <c r="W346" s="799"/>
      <c r="X346" s="800"/>
      <c r="Y346" s="354"/>
    </row>
    <row r="347" spans="1:25" ht="13.5" customHeight="1" x14ac:dyDescent="0.2">
      <c r="A347" s="2692" t="s">
        <v>1247</v>
      </c>
      <c r="B347" s="2693"/>
      <c r="C347" s="2693"/>
      <c r="D347" s="2693"/>
      <c r="E347" s="2693"/>
      <c r="F347" s="2693"/>
      <c r="G347" s="2693"/>
      <c r="H347" s="2693"/>
      <c r="I347" s="1473">
        <f t="shared" si="182"/>
        <v>0</v>
      </c>
      <c r="J347" s="1474"/>
      <c r="K347" s="1474"/>
      <c r="L347" s="1475"/>
      <c r="M347" s="1467">
        <f t="shared" si="191"/>
        <v>1789.3000000000002</v>
      </c>
      <c r="N347" s="1474">
        <f>SUM(N229+N233+N252+N254+N256+N258+N260+N262+N297)</f>
        <v>82</v>
      </c>
      <c r="O347" s="1474">
        <f>SUM(O229+O233+O252+O254+O256+O258+O260+O262+O297)</f>
        <v>0</v>
      </c>
      <c r="P347" s="2379">
        <f>SUM(P229+P233+P252+P254+P256+P258+P260+P262+P297)</f>
        <v>1707.3000000000002</v>
      </c>
      <c r="Q347" s="1467">
        <f t="shared" si="188"/>
        <v>0</v>
      </c>
      <c r="R347" s="1474">
        <f>SUM(R252+R254+R256+R258+R260+R262+R229+R233)</f>
        <v>0</v>
      </c>
      <c r="S347" s="1474">
        <f>SUM(S252+S254+S256+S258+S260+S262+S229+S233)</f>
        <v>0</v>
      </c>
      <c r="T347" s="1474">
        <f>SUM(T252+T254+T256+T258+T260+T262+T229+T233)</f>
        <v>0</v>
      </c>
      <c r="U347" s="1467">
        <f t="shared" si="190"/>
        <v>0</v>
      </c>
      <c r="V347" s="1468">
        <f>SUM(V229+V233+V252+V254+V256+V258+V260+V262)</f>
        <v>0</v>
      </c>
      <c r="W347" s="1468">
        <f>SUM(W229+W233+W252+W254+W256+W258+W260+W262)</f>
        <v>0</v>
      </c>
      <c r="X347" s="1471">
        <f>SUM(X229+X233+X252+X254+X256+X258+X260+X262)</f>
        <v>0</v>
      </c>
      <c r="Y347" s="354"/>
    </row>
    <row r="348" spans="1:25" ht="13.5" customHeight="1" x14ac:dyDescent="0.2">
      <c r="A348" s="2464" t="s">
        <v>1248</v>
      </c>
      <c r="B348" s="2465"/>
      <c r="C348" s="2465"/>
      <c r="D348" s="2465"/>
      <c r="E348" s="2465"/>
      <c r="F348" s="2465"/>
      <c r="G348" s="2465"/>
      <c r="H348" s="3962"/>
      <c r="I348" s="1473">
        <f t="shared" si="182"/>
        <v>6</v>
      </c>
      <c r="J348" s="1468">
        <f>SUM(J251)</f>
        <v>0</v>
      </c>
      <c r="K348" s="1468">
        <f>SUM(K251)</f>
        <v>0</v>
      </c>
      <c r="L348" s="1469">
        <f>SUM(L251)</f>
        <v>6</v>
      </c>
      <c r="M348" s="1467">
        <f>SUM(N348+P348)</f>
        <v>0</v>
      </c>
      <c r="N348" s="1468">
        <f>SUM(N251)</f>
        <v>0</v>
      </c>
      <c r="O348" s="1468">
        <f>SUM(O251)</f>
        <v>0</v>
      </c>
      <c r="P348" s="1471">
        <f>SUM(P251)</f>
        <v>0</v>
      </c>
      <c r="Q348" s="1467">
        <f>SUM(R348+T348)</f>
        <v>0</v>
      </c>
      <c r="R348" s="1468">
        <f>SUM(R251)</f>
        <v>0</v>
      </c>
      <c r="S348" s="1468">
        <f>SUM(S251)</f>
        <v>0</v>
      </c>
      <c r="T348" s="1468">
        <f>SUM(T251)</f>
        <v>0</v>
      </c>
      <c r="U348" s="1467">
        <f>SUM(V348+X348)</f>
        <v>0</v>
      </c>
      <c r="V348" s="1468">
        <f>SUM(V251)</f>
        <v>0</v>
      </c>
      <c r="W348" s="1468">
        <f>SUM(W251)</f>
        <v>0</v>
      </c>
      <c r="X348" s="1471">
        <f>SUM(X251)</f>
        <v>0</v>
      </c>
      <c r="Y348" s="354"/>
    </row>
    <row r="349" spans="1:25" ht="13.5" customHeight="1" thickBot="1" x14ac:dyDescent="0.25">
      <c r="A349" s="2464" t="s">
        <v>1249</v>
      </c>
      <c r="B349" s="2465"/>
      <c r="C349" s="2465"/>
      <c r="D349" s="2465"/>
      <c r="E349" s="2465"/>
      <c r="F349" s="2465"/>
      <c r="G349" s="2465"/>
      <c r="H349" s="3962"/>
      <c r="I349" s="1476">
        <f t="shared" si="182"/>
        <v>132.19999999999999</v>
      </c>
      <c r="J349" s="1477">
        <f>SUM(J22)</f>
        <v>132.19999999999999</v>
      </c>
      <c r="K349" s="1477">
        <f>SUM(K22)</f>
        <v>0</v>
      </c>
      <c r="L349" s="1478"/>
      <c r="M349" s="1476">
        <f t="shared" si="191"/>
        <v>0</v>
      </c>
      <c r="N349" s="1477">
        <f>SUM(N22)</f>
        <v>0</v>
      </c>
      <c r="O349" s="1477">
        <f>SUM(O22)</f>
        <v>0</v>
      </c>
      <c r="P349" s="1479">
        <f>SUM(P22)</f>
        <v>0</v>
      </c>
      <c r="Q349" s="1476">
        <f t="shared" si="188"/>
        <v>0</v>
      </c>
      <c r="R349" s="1477"/>
      <c r="S349" s="1477"/>
      <c r="T349" s="1478"/>
      <c r="U349" s="1476">
        <f t="shared" si="190"/>
        <v>0</v>
      </c>
      <c r="V349" s="1477"/>
      <c r="W349" s="1477"/>
      <c r="X349" s="1479"/>
      <c r="Y349" s="354"/>
    </row>
    <row r="350" spans="1:25" ht="18" customHeight="1" thickBot="1" x14ac:dyDescent="0.25">
      <c r="A350" s="3967" t="s">
        <v>208</v>
      </c>
      <c r="B350" s="3968"/>
      <c r="C350" s="3968"/>
      <c r="D350" s="3968"/>
      <c r="E350" s="3968"/>
      <c r="F350" s="3968"/>
      <c r="G350" s="3968"/>
      <c r="H350" s="3969"/>
      <c r="I350" s="1480">
        <f>SUM(J350+L350)</f>
        <v>9745.5999999999967</v>
      </c>
      <c r="J350" s="1481">
        <f>SUM(J335:J349)</f>
        <v>7995.2999999999965</v>
      </c>
      <c r="K350" s="1481">
        <f>SUM(K335:K349)</f>
        <v>6228.9000000000015</v>
      </c>
      <c r="L350" s="1482">
        <f>SUM(L335:L349)</f>
        <v>1750.3000000000002</v>
      </c>
      <c r="M350" s="1483">
        <f t="shared" si="191"/>
        <v>14369.4</v>
      </c>
      <c r="N350" s="1481">
        <f>SUM(N335:N349)</f>
        <v>11057.9</v>
      </c>
      <c r="O350" s="1481">
        <f>SUM(O335:O349)</f>
        <v>8148.9</v>
      </c>
      <c r="P350" s="1482">
        <f>SUM(P335:P349)</f>
        <v>3311.5</v>
      </c>
      <c r="Q350" s="1484">
        <f t="shared" si="188"/>
        <v>14361.900000000001</v>
      </c>
      <c r="R350" s="1481">
        <f>SUM(R335:R349)</f>
        <v>10311.800000000001</v>
      </c>
      <c r="S350" s="1481">
        <f>SUM(S335:S349)</f>
        <v>7940.2999999999993</v>
      </c>
      <c r="T350" s="1482">
        <f>SUM(T335:T349)</f>
        <v>4050.1000000000004</v>
      </c>
      <c r="U350" s="1483">
        <f t="shared" si="190"/>
        <v>11961.900000000001</v>
      </c>
      <c r="V350" s="1481">
        <f>SUM(V335:V349)</f>
        <v>10311.800000000001</v>
      </c>
      <c r="W350" s="1481">
        <f>SUM(W335:W349)</f>
        <v>7940.2999999999993</v>
      </c>
      <c r="X350" s="1482">
        <f>SUM(X335:X349)</f>
        <v>1650.1</v>
      </c>
      <c r="Y350" s="354"/>
    </row>
    <row r="351" spans="1:25" ht="12.75" hidden="1" customHeight="1" x14ac:dyDescent="0.2">
      <c r="A351" s="3970"/>
      <c r="B351" s="3970"/>
      <c r="C351" s="3970"/>
      <c r="D351" s="3970"/>
      <c r="E351" s="3970"/>
      <c r="F351" s="3970"/>
      <c r="G351" s="3970"/>
      <c r="H351" s="3970"/>
      <c r="I351" s="3970"/>
      <c r="J351" s="3970"/>
      <c r="K351" s="3970"/>
      <c r="L351" s="3970"/>
      <c r="M351" s="3970"/>
      <c r="N351" s="3970"/>
      <c r="O351" s="3970"/>
      <c r="P351" s="3970"/>
      <c r="Q351" s="3970"/>
      <c r="R351" s="3970"/>
      <c r="S351" s="3970"/>
      <c r="T351" s="3970"/>
      <c r="U351" s="3970"/>
      <c r="V351" s="3970"/>
      <c r="W351" s="3970"/>
      <c r="X351" s="3970"/>
    </row>
    <row r="352" spans="1:25" ht="13.5" hidden="1" customHeight="1" x14ac:dyDescent="0.2">
      <c r="A352" s="3966" t="s">
        <v>1250</v>
      </c>
      <c r="B352" s="3966"/>
      <c r="C352" s="3966"/>
      <c r="D352" s="3966"/>
      <c r="E352" s="3966"/>
      <c r="F352" s="3966"/>
      <c r="G352" s="3966"/>
      <c r="H352" s="3966"/>
      <c r="I352" s="1485" t="e">
        <f t="shared" ref="I352:I403" si="196">SUM(J352+L352)</f>
        <v>#REF!</v>
      </c>
      <c r="J352" s="70" t="e">
        <f>SUM(J12+J17+J18+J19+J20+J23+#REF!+J39+J41+J44+J46+J48+J50+J53+J56+J58+J61+J64+#REF!+#REF!+#REF!+J132+J135+#REF!+#REF!+#REF!+#REF!+J248+J275+J279+J282+J284+J288)</f>
        <v>#REF!</v>
      </c>
      <c r="K352" s="70" t="e">
        <f>SUM(K12+K17+K18+K19+K20+K23+#REF!+K39+K41+K44+K46+K48+K50+K53+K56+K58+K61+K64+#REF!+#REF!+#REF!+K132+K135+#REF!+#REF!+#REF!+#REF!+K248+K275+K279+K282+K284+K288)</f>
        <v>#REF!</v>
      </c>
      <c r="L352" s="70" t="e">
        <f>SUM(L12+L17+L18+L19+L20+L23+#REF!+L39+L41+L44+L46+L48+L50+L53+L56+L58+L61+L64+#REF!+#REF!+#REF!+L132+L135+#REF!+#REF!+#REF!+#REF!+L248+L275+L279+L282+L284+L288)</f>
        <v>#REF!</v>
      </c>
      <c r="M352" s="70" t="e">
        <f>SUM(M12+M17+M18+M19+M20+M23+#REF!+M39+M41+M44+M46+M48+M50+M53+M56+M58+M61+M64+#REF!+#REF!+#REF!+M132+M135+#REF!+#REF!+#REF!+#REF!+M248+M275+M279+M282+M284+M288)</f>
        <v>#REF!</v>
      </c>
      <c r="N352" s="70" t="e">
        <f>SUM(N12+N17+N18+N19+N20+N23+#REF!+N39+N41+N44+N46+N48+N50+N53+N56+N58+N61+N64+#REF!+#REF!+#REF!+N132+N135+#REF!+#REF!+#REF!+#REF!+N248+N275+N279+N282+N284+N288)</f>
        <v>#REF!</v>
      </c>
      <c r="O352" s="70" t="e">
        <f>SUM(O12+O17+O18+O19+O20+O23+#REF!+O39+O41+O44+O46+O48+O50+O53+O56+O58+O61+O64+#REF!+#REF!+#REF!+O132+O135+#REF!+#REF!+#REF!+#REF!+O248+O275+O279+O282+O284+O288)</f>
        <v>#REF!</v>
      </c>
      <c r="P352" s="70" t="e">
        <f>SUM(P12+P17+P18+P19+P20+P23+#REF!+P39+P41+P44+P46+P48+P50+P53+P56+P58+P61+P64+#REF!+#REF!+#REF!+P132+P135+#REF!+#REF!+#REF!+#REF!+P248+P275+P279+P282+P284+P288)</f>
        <v>#REF!</v>
      </c>
      <c r="Q352" s="70" t="e">
        <f>SUM(Q12+Q17+Q18+Q19+Q20+Q23+#REF!+Q39+Q41+Q44+Q46+Q48+Q50+Q53+Q56+Q58+Q61+Q64+#REF!+#REF!+#REF!+Q132+Q135+#REF!+#REF!+#REF!+#REF!+Q248+Q275+Q279+Q282+Q284+Q288)</f>
        <v>#REF!</v>
      </c>
      <c r="R352" s="70" t="e">
        <f>SUM(R12+R17+R18+R19+R20+R23+#REF!+R39+R41+R44+R46+R48+R50+R53+R56+R58+R61+R64+#REF!+#REF!+#REF!+R132+R135+#REF!+#REF!+#REF!+#REF!+R248+R275+R279+R282+R284+R288)</f>
        <v>#REF!</v>
      </c>
      <c r="S352" s="70" t="e">
        <f>SUM(S12+S17+S18+S19+S20+S23+#REF!+S39+S41+S44+S46+S48+S50+S53+S56+S58+S61+S64+#REF!+#REF!+#REF!+S132+S135+#REF!+#REF!+#REF!+#REF!+S248+S275+S279+S282+S284+S288)</f>
        <v>#REF!</v>
      </c>
      <c r="T352" s="70" t="e">
        <f>SUM(T12+T17+T18+T19+T20+T23+#REF!+T39+T41+T44+T46+T48+T50+T53+T56+T58+T61+T64+#REF!+#REF!+#REF!+T132+T135+#REF!+#REF!+#REF!+#REF!+T248+T275+T279+T282+T284+T288)</f>
        <v>#REF!</v>
      </c>
      <c r="U352" s="70" t="e">
        <f>SUM(U12+U17+U18+U19+U20+U23+#REF!+U39+U41+U44+U46+U48+U50+U53+U56+U58+U61+U64+#REF!+#REF!+#REF!+U132+U135+#REF!+#REF!+#REF!+#REF!+U248+U275+U279+U282+U284+U288)</f>
        <v>#REF!</v>
      </c>
      <c r="V352" s="70" t="e">
        <f>SUM(V12+V17+V18+V19+V20+V23+#REF!+V39+V41+V44+V46+V48+V50+V53+V56+V58+V61+V64+#REF!+#REF!+#REF!+V132+V135+#REF!+#REF!+#REF!+#REF!+V248+V275+V279+V282+V284+V288)</f>
        <v>#REF!</v>
      </c>
      <c r="W352" s="70" t="e">
        <f>SUM(W12+W17+W18+W19+W20+W23+#REF!+W39+W41+W44+W46+W48+W50+W53+W56+W58+W61+W64+#REF!+#REF!+#REF!+W132+W135+#REF!+#REF!+#REF!+#REF!+W248+W275+W279+W282+W284+W288)</f>
        <v>#REF!</v>
      </c>
      <c r="X352" s="70" t="e">
        <f>SUM(X12+X17+X18+X19+X20+X23+#REF!+X39+X41+X44+X46+X48+X50+X53+X56+X58+X61+X64+#REF!+#REF!+#REF!+X132+X135+#REF!+#REF!+#REF!+#REF!+X248+X275+X279+X282+X284+X288)</f>
        <v>#REF!</v>
      </c>
    </row>
    <row r="353" spans="1:24" ht="13.5" hidden="1" customHeight="1" x14ac:dyDescent="0.2">
      <c r="A353" s="3966" t="s">
        <v>1251</v>
      </c>
      <c r="B353" s="3966"/>
      <c r="C353" s="3966"/>
      <c r="D353" s="3966"/>
      <c r="E353" s="3966"/>
      <c r="F353" s="3966"/>
      <c r="G353" s="3966"/>
      <c r="H353" s="3966"/>
      <c r="I353" s="1485" t="e">
        <f t="shared" si="196"/>
        <v>#REF!</v>
      </c>
      <c r="J353" s="70" t="e">
        <f>SUM(J159+#REF!+#REF!)</f>
        <v>#REF!</v>
      </c>
      <c r="K353" s="70" t="e">
        <f>SUM(K159+#REF!+#REF!)</f>
        <v>#REF!</v>
      </c>
      <c r="L353" s="70" t="e">
        <f>SUM(L159+#REF!+#REF!)</f>
        <v>#REF!</v>
      </c>
      <c r="M353" s="70" t="e">
        <f>SUM(M159+#REF!+#REF!)</f>
        <v>#REF!</v>
      </c>
      <c r="N353" s="70" t="e">
        <f>SUM(N159+#REF!+#REF!)</f>
        <v>#REF!</v>
      </c>
      <c r="O353" s="70" t="e">
        <f>SUM(O159+#REF!+#REF!)</f>
        <v>#REF!</v>
      </c>
      <c r="P353" s="70" t="e">
        <f>SUM(P159+#REF!+#REF!)</f>
        <v>#REF!</v>
      </c>
      <c r="Q353" s="70" t="e">
        <f>SUM(Q159+#REF!+#REF!)</f>
        <v>#REF!</v>
      </c>
      <c r="R353" s="70" t="e">
        <f>SUM(R159+#REF!+#REF!)</f>
        <v>#REF!</v>
      </c>
      <c r="S353" s="70" t="e">
        <f>SUM(S159+#REF!+#REF!)</f>
        <v>#REF!</v>
      </c>
      <c r="T353" s="70" t="e">
        <f>SUM(T159+#REF!+#REF!)</f>
        <v>#REF!</v>
      </c>
      <c r="U353" s="70" t="e">
        <f>SUM(U159+#REF!+#REF!)</f>
        <v>#REF!</v>
      </c>
      <c r="V353" s="70" t="e">
        <f>SUM(V159+#REF!+#REF!)</f>
        <v>#REF!</v>
      </c>
      <c r="W353" s="70" t="e">
        <f>SUM(W159+#REF!+#REF!)</f>
        <v>#REF!</v>
      </c>
      <c r="X353" s="70" t="e">
        <f>SUM(X159+#REF!+#REF!)</f>
        <v>#REF!</v>
      </c>
    </row>
    <row r="354" spans="1:24" ht="12.75" hidden="1" customHeight="1" x14ac:dyDescent="0.2">
      <c r="A354" s="3966" t="s">
        <v>833</v>
      </c>
      <c r="B354" s="3966"/>
      <c r="C354" s="3966"/>
      <c r="D354" s="3966"/>
      <c r="E354" s="3966"/>
      <c r="F354" s="3966"/>
      <c r="G354" s="3966"/>
      <c r="H354" s="3966"/>
      <c r="I354" s="1485" t="e">
        <f t="shared" si="196"/>
        <v>#REF!</v>
      </c>
      <c r="J354" s="70" t="e">
        <f>SUM(J27+J28+J224+#REF!+#REF!+#REF!+J268+J271+J273)</f>
        <v>#REF!</v>
      </c>
      <c r="K354" s="70" t="e">
        <f>SUM(K27+K28+K224+#REF!+#REF!+#REF!+K268+K271+K273)</f>
        <v>#REF!</v>
      </c>
      <c r="L354" s="70" t="e">
        <f>SUM(L27+L28+L224+#REF!+#REF!+#REF!+L268+L271+L273)</f>
        <v>#REF!</v>
      </c>
      <c r="M354" s="70" t="e">
        <f>SUM(M27+M28+M224+#REF!+#REF!+#REF!+M268+M271+M273)</f>
        <v>#REF!</v>
      </c>
      <c r="N354" s="70" t="e">
        <f>SUM(N27+N28+N150+N224+#REF!+#REF!+#REF!+N268+N271+N273)</f>
        <v>#REF!</v>
      </c>
      <c r="O354" s="70" t="e">
        <f>SUM(O27+O28+O150+O224+#REF!+#REF!+#REF!+O268+O271+O273)</f>
        <v>#REF!</v>
      </c>
      <c r="P354" s="70" t="e">
        <f>SUM(P27+P28+P150+P224+#REF!+#REF!+#REF!+P268+P271+P273)</f>
        <v>#REF!</v>
      </c>
      <c r="Q354" s="70" t="e">
        <f>SUM(Q27+Q28+Q150+Q224+#REF!+#REF!+#REF!+Q268+Q271+Q273)</f>
        <v>#REF!</v>
      </c>
      <c r="R354" s="70" t="e">
        <f>SUM(R27+R28+R150+R224+#REF!+#REF!+#REF!+R268+R271+R273)</f>
        <v>#REF!</v>
      </c>
      <c r="S354" s="70" t="e">
        <f>SUM(S27+S28+S150+S224+#REF!+#REF!+#REF!+S268+S271+S273)</f>
        <v>#REF!</v>
      </c>
      <c r="T354" s="70" t="e">
        <f>SUM(T27+T28+T150+T224+#REF!+#REF!+#REF!+T268+T271+T273)</f>
        <v>#REF!</v>
      </c>
      <c r="U354" s="70" t="e">
        <f>SUM(U27+U28+U150+U224+#REF!+#REF!+#REF!+U268+U271+U273)</f>
        <v>#REF!</v>
      </c>
      <c r="V354" s="70" t="e">
        <f>SUM(V27+V28+V150+V224+#REF!+#REF!+#REF!+V268+V271+V273)</f>
        <v>#REF!</v>
      </c>
      <c r="W354" s="70" t="e">
        <f>SUM(W27+W28+W150+W224+#REF!+#REF!+#REF!+W268+W271+W273)</f>
        <v>#REF!</v>
      </c>
      <c r="X354" s="70" t="e">
        <f>SUM(X27+X28+X150+X224+#REF!+#REF!+#REF!+X268+X271+X273)</f>
        <v>#REF!</v>
      </c>
    </row>
    <row r="355" spans="1:24" ht="12.75" hidden="1" customHeight="1" x14ac:dyDescent="0.2">
      <c r="A355" s="3966" t="s">
        <v>1252</v>
      </c>
      <c r="B355" s="3966"/>
      <c r="C355" s="3966"/>
      <c r="D355" s="3966"/>
      <c r="E355" s="3966"/>
      <c r="F355" s="3966"/>
      <c r="G355" s="3966"/>
      <c r="H355" s="3966"/>
      <c r="I355" s="1485">
        <f t="shared" si="196"/>
        <v>16.100000000000001</v>
      </c>
      <c r="J355" s="70">
        <f>SUM(J29)</f>
        <v>16.100000000000001</v>
      </c>
      <c r="K355" s="70">
        <f>SUM(K29)</f>
        <v>15.8</v>
      </c>
      <c r="L355" s="70">
        <f>SUM(L29)</f>
        <v>0</v>
      </c>
      <c r="M355" s="1485">
        <f t="shared" ref="M355:M403" si="197">SUM(N355+P355)</f>
        <v>22.6</v>
      </c>
      <c r="N355" s="70">
        <f>SUM(N29)</f>
        <v>22.6</v>
      </c>
      <c r="O355" s="70">
        <f>SUM(O29)</f>
        <v>21.7</v>
      </c>
      <c r="P355" s="70">
        <f>SUM(P29)</f>
        <v>0</v>
      </c>
      <c r="Q355" s="1485">
        <f t="shared" ref="Q355:Q403" si="198">SUM(R355+T355)</f>
        <v>22.6</v>
      </c>
      <c r="R355" s="70">
        <f>SUM(R29)</f>
        <v>22.6</v>
      </c>
      <c r="S355" s="70">
        <f>SUM(S29)</f>
        <v>21.7</v>
      </c>
      <c r="T355" s="70">
        <f>SUM(T29)</f>
        <v>0</v>
      </c>
      <c r="U355" s="1485">
        <f t="shared" ref="U355:U403" si="199">SUM(V355+X355)</f>
        <v>22.6</v>
      </c>
      <c r="V355" s="70">
        <f>SUM(V29)</f>
        <v>22.6</v>
      </c>
      <c r="W355" s="70">
        <f>SUM(W29)</f>
        <v>21.7</v>
      </c>
      <c r="X355" s="70">
        <f>SUM(X29)</f>
        <v>0</v>
      </c>
    </row>
    <row r="356" spans="1:24" ht="13.5" hidden="1" customHeight="1" x14ac:dyDescent="0.2">
      <c r="A356" s="3966" t="s">
        <v>834</v>
      </c>
      <c r="B356" s="3966"/>
      <c r="C356" s="3966"/>
      <c r="D356" s="3966"/>
      <c r="E356" s="3966"/>
      <c r="F356" s="3966"/>
      <c r="G356" s="3966"/>
      <c r="H356" s="3966"/>
      <c r="I356" s="1485" t="e">
        <f t="shared" si="196"/>
        <v>#REF!</v>
      </c>
      <c r="J356" s="70" t="e">
        <f>SUM(#REF!)</f>
        <v>#REF!</v>
      </c>
      <c r="K356" s="70" t="e">
        <f>SUM(#REF!)</f>
        <v>#REF!</v>
      </c>
      <c r="L356" s="70" t="e">
        <f>SUM(#REF!)</f>
        <v>#REF!</v>
      </c>
      <c r="M356" s="1485" t="e">
        <f t="shared" si="197"/>
        <v>#REF!</v>
      </c>
      <c r="N356" s="70" t="e">
        <f>SUM(#REF!)</f>
        <v>#REF!</v>
      </c>
      <c r="O356" s="70" t="e">
        <f>SUM(#REF!)</f>
        <v>#REF!</v>
      </c>
      <c r="P356" s="70" t="e">
        <f>SUM(#REF!)</f>
        <v>#REF!</v>
      </c>
      <c r="Q356" s="1485" t="e">
        <f t="shared" si="198"/>
        <v>#REF!</v>
      </c>
      <c r="R356" s="70" t="e">
        <f>SUM(#REF!)</f>
        <v>#REF!</v>
      </c>
      <c r="S356" s="70" t="e">
        <f>SUM(#REF!)</f>
        <v>#REF!</v>
      </c>
      <c r="T356" s="70" t="e">
        <f>SUM(#REF!)</f>
        <v>#REF!</v>
      </c>
      <c r="U356" s="1485" t="e">
        <f t="shared" si="199"/>
        <v>#REF!</v>
      </c>
      <c r="V356" s="70" t="e">
        <f>SUM(#REF!)</f>
        <v>#REF!</v>
      </c>
      <c r="W356" s="70" t="e">
        <f>SUM(#REF!)</f>
        <v>#REF!</v>
      </c>
      <c r="X356" s="70" t="e">
        <f>SUM(#REF!)</f>
        <v>#REF!</v>
      </c>
    </row>
    <row r="357" spans="1:24" ht="13.5" hidden="1" customHeight="1" x14ac:dyDescent="0.2">
      <c r="A357" s="3966" t="s">
        <v>1253</v>
      </c>
      <c r="B357" s="3966"/>
      <c r="C357" s="3966"/>
      <c r="D357" s="3966"/>
      <c r="E357" s="3966"/>
      <c r="F357" s="3966"/>
      <c r="G357" s="3966"/>
      <c r="H357" s="3966"/>
      <c r="I357" s="1485">
        <f t="shared" si="196"/>
        <v>94.9</v>
      </c>
      <c r="J357" s="70">
        <f>SUM(J30)</f>
        <v>94.9</v>
      </c>
      <c r="K357" s="70">
        <f>SUM(K30)</f>
        <v>93.3</v>
      </c>
      <c r="L357" s="70">
        <f>SUM(L30)</f>
        <v>0</v>
      </c>
      <c r="M357" s="1485">
        <f t="shared" si="197"/>
        <v>100.2</v>
      </c>
      <c r="N357" s="70">
        <f>SUM(N30)</f>
        <v>100.2</v>
      </c>
      <c r="O357" s="70">
        <f>SUM(O30)</f>
        <v>98.2</v>
      </c>
      <c r="P357" s="70">
        <f>SUM(P30)</f>
        <v>0</v>
      </c>
      <c r="Q357" s="1485">
        <f t="shared" si="198"/>
        <v>100.2</v>
      </c>
      <c r="R357" s="70">
        <f>SUM(R30)</f>
        <v>100.2</v>
      </c>
      <c r="S357" s="70">
        <f>SUM(S30)</f>
        <v>98.2</v>
      </c>
      <c r="T357" s="70">
        <f>SUM(T30)</f>
        <v>0</v>
      </c>
      <c r="U357" s="1485">
        <f t="shared" si="199"/>
        <v>100.2</v>
      </c>
      <c r="V357" s="70">
        <f>SUM(V30)</f>
        <v>100.2</v>
      </c>
      <c r="W357" s="70">
        <f>SUM(W30)</f>
        <v>98.2</v>
      </c>
      <c r="X357" s="70">
        <f>SUM(X30)</f>
        <v>0</v>
      </c>
    </row>
    <row r="358" spans="1:24" ht="13.5" hidden="1" customHeight="1" x14ac:dyDescent="0.2">
      <c r="A358" s="3966" t="s">
        <v>1254</v>
      </c>
      <c r="B358" s="3966"/>
      <c r="C358" s="3966"/>
      <c r="D358" s="3966"/>
      <c r="E358" s="3966"/>
      <c r="F358" s="3966"/>
      <c r="G358" s="3966"/>
      <c r="H358" s="3966"/>
      <c r="I358" s="1485" t="e">
        <f t="shared" si="196"/>
        <v>#REF!</v>
      </c>
      <c r="J358" s="70" t="e">
        <f>SUM(J31+J66+#REF!+#REF!+#REF!+#REF!+#REF!+#REF!+#REF!+#REF!+#REF!+#REF!+#REF!+#REF!+#REF!)</f>
        <v>#REF!</v>
      </c>
      <c r="K358" s="70" t="e">
        <f>SUM(K31+K66+#REF!+#REF!+#REF!+#REF!+#REF!+#REF!+#REF!+#REF!+#REF!+#REF!+#REF!+#REF!+#REF!)</f>
        <v>#REF!</v>
      </c>
      <c r="L358" s="70" t="e">
        <f>SUM(L31+L66+#REF!+#REF!+#REF!+#REF!+#REF!+#REF!+#REF!+#REF!+#REF!+#REF!+#REF!+#REF!+#REF!)</f>
        <v>#REF!</v>
      </c>
      <c r="M358" s="70" t="e">
        <f>SUM(M31+M66+#REF!+#REF!+#REF!+#REF!+#REF!+#REF!+#REF!+#REF!+#REF!+#REF!+#REF!+#REF!+#REF!)</f>
        <v>#REF!</v>
      </c>
      <c r="N358" s="70" t="e">
        <f>SUM(N31+N66+#REF!+#REF!+#REF!+#REF!+#REF!+#REF!+#REF!+#REF!+#REF!+#REF!+#REF!+#REF!+#REF!)</f>
        <v>#REF!</v>
      </c>
      <c r="O358" s="70" t="e">
        <f>SUM(O31+O66+#REF!+#REF!+#REF!+#REF!+#REF!+#REF!+#REF!+#REF!+#REF!+#REF!+#REF!+#REF!+#REF!)</f>
        <v>#REF!</v>
      </c>
      <c r="P358" s="70" t="e">
        <f>SUM(P31+P66+#REF!+#REF!+#REF!+#REF!+#REF!+#REF!+#REF!+#REF!+#REF!+#REF!+#REF!+#REF!+#REF!)</f>
        <v>#REF!</v>
      </c>
      <c r="Q358" s="70" t="e">
        <f>SUM(Q31+Q66+#REF!+#REF!+#REF!+#REF!+#REF!+#REF!+#REF!+#REF!+#REF!+#REF!+#REF!+#REF!+#REF!)</f>
        <v>#REF!</v>
      </c>
      <c r="R358" s="70" t="e">
        <f>SUM(R31+R66+#REF!+#REF!+#REF!+#REF!+#REF!+#REF!+#REF!+#REF!+#REF!+#REF!+#REF!+#REF!+#REF!)</f>
        <v>#REF!</v>
      </c>
      <c r="S358" s="70" t="e">
        <f>SUM(S31+S66+#REF!+#REF!+#REF!+#REF!+#REF!+#REF!+#REF!+#REF!+#REF!+#REF!+#REF!+#REF!+#REF!)</f>
        <v>#REF!</v>
      </c>
      <c r="T358" s="70" t="e">
        <f>SUM(T31+T66+#REF!+#REF!+#REF!+#REF!+#REF!+#REF!+#REF!+#REF!+#REF!+#REF!+#REF!+#REF!+#REF!)</f>
        <v>#REF!</v>
      </c>
      <c r="U358" s="70" t="e">
        <f>SUM(U31+U66+#REF!+#REF!+#REF!+#REF!+#REF!+#REF!+#REF!+#REF!+#REF!+#REF!+#REF!+#REF!+#REF!)</f>
        <v>#REF!</v>
      </c>
      <c r="V358" s="70" t="e">
        <f>SUM(V31+V66+#REF!+#REF!+#REF!+#REF!+#REF!+#REF!+#REF!+#REF!+#REF!+#REF!+#REF!+#REF!+#REF!)</f>
        <v>#REF!</v>
      </c>
      <c r="W358" s="70" t="e">
        <f>SUM(W31+W66+#REF!+#REF!+#REF!+#REF!+#REF!+#REF!+#REF!+#REF!+#REF!+#REF!+#REF!+#REF!+#REF!)</f>
        <v>#REF!</v>
      </c>
      <c r="X358" s="70" t="e">
        <f>SUM(X31+X66+#REF!+#REF!+#REF!+#REF!+#REF!+#REF!+#REF!+#REF!+#REF!+#REF!+#REF!+#REF!+#REF!)</f>
        <v>#REF!</v>
      </c>
    </row>
    <row r="359" spans="1:24" ht="13.5" hidden="1" customHeight="1" x14ac:dyDescent="0.2">
      <c r="A359" s="3966" t="s">
        <v>1255</v>
      </c>
      <c r="B359" s="3966"/>
      <c r="C359" s="3966"/>
      <c r="D359" s="3966"/>
      <c r="E359" s="3966"/>
      <c r="F359" s="3966"/>
      <c r="G359" s="3966"/>
      <c r="H359" s="3966"/>
      <c r="I359" s="1485" t="e">
        <f t="shared" si="196"/>
        <v>#REF!</v>
      </c>
      <c r="J359" s="70" t="e">
        <f>SUM(J32+#REF!+#REF!+J239)</f>
        <v>#REF!</v>
      </c>
      <c r="K359" s="70" t="e">
        <f>SUM(K32+#REF!+#REF!+K239)</f>
        <v>#REF!</v>
      </c>
      <c r="L359" s="70" t="e">
        <f>SUM(L32+#REF!+#REF!+L239)</f>
        <v>#REF!</v>
      </c>
      <c r="M359" s="70" t="e">
        <f>SUM(M32+#REF!+#REF!+M239)</f>
        <v>#REF!</v>
      </c>
      <c r="N359" s="70" t="e">
        <f>SUM(N32+#REF!+#REF!+N239)</f>
        <v>#REF!</v>
      </c>
      <c r="O359" s="70" t="e">
        <f>SUM(O32+#REF!+#REF!+O239)</f>
        <v>#REF!</v>
      </c>
      <c r="P359" s="70" t="e">
        <f>SUM(P32+#REF!+#REF!+P239)</f>
        <v>#REF!</v>
      </c>
      <c r="Q359" s="70" t="e">
        <f>SUM(Q32+#REF!+#REF!+Q239)</f>
        <v>#REF!</v>
      </c>
      <c r="R359" s="70" t="e">
        <f>SUM(R32+#REF!+#REF!+R239)</f>
        <v>#REF!</v>
      </c>
      <c r="S359" s="70" t="e">
        <f>SUM(S32+#REF!+#REF!+S239)</f>
        <v>#REF!</v>
      </c>
      <c r="T359" s="70" t="e">
        <f>SUM(T32+#REF!+#REF!+T239)</f>
        <v>#REF!</v>
      </c>
      <c r="U359" s="70" t="e">
        <f>SUM(U32+#REF!+#REF!+U239)</f>
        <v>#REF!</v>
      </c>
      <c r="V359" s="70" t="e">
        <f>SUM(V32+#REF!+#REF!+V239)</f>
        <v>#REF!</v>
      </c>
      <c r="W359" s="70" t="e">
        <f>SUM(W32+#REF!+#REF!+W239)</f>
        <v>#REF!</v>
      </c>
      <c r="X359" s="70" t="e">
        <f>SUM(X32+#REF!+#REF!+X239)</f>
        <v>#REF!</v>
      </c>
    </row>
    <row r="360" spans="1:24" ht="13.5" hidden="1" customHeight="1" x14ac:dyDescent="0.2">
      <c r="A360" s="3966" t="s">
        <v>1256</v>
      </c>
      <c r="B360" s="3966"/>
      <c r="C360" s="3966"/>
      <c r="D360" s="3966"/>
      <c r="E360" s="3966"/>
      <c r="F360" s="3966"/>
      <c r="G360" s="3966"/>
      <c r="H360" s="3966"/>
      <c r="I360" s="1485" t="e">
        <f t="shared" si="196"/>
        <v>#REF!</v>
      </c>
      <c r="J360" s="70" t="e">
        <f>SUM(#REF!+J129+J163+J194+#REF!)</f>
        <v>#REF!</v>
      </c>
      <c r="K360" s="70" t="e">
        <f>SUM(#REF!+K129+K163+K194+#REF!)</f>
        <v>#REF!</v>
      </c>
      <c r="L360" s="70" t="e">
        <f>SUM(#REF!+L129+L163+L194+#REF!)</f>
        <v>#REF!</v>
      </c>
      <c r="M360" s="70" t="e">
        <f>SUM(#REF!+M129+M163+M194+#REF!)</f>
        <v>#REF!</v>
      </c>
      <c r="N360" s="70" t="e">
        <f>SUM(#REF!+N129+N163+N194+#REF!)</f>
        <v>#REF!</v>
      </c>
      <c r="O360" s="70" t="e">
        <f>SUM(#REF!+O129+O163+O194+#REF!)</f>
        <v>#REF!</v>
      </c>
      <c r="P360" s="70" t="e">
        <f>SUM(#REF!+P129+P163+P194+#REF!)</f>
        <v>#REF!</v>
      </c>
      <c r="Q360" s="70" t="e">
        <f>SUM(#REF!+Q129+Q163+Q194+#REF!)</f>
        <v>#REF!</v>
      </c>
      <c r="R360" s="70" t="e">
        <f>SUM(#REF!+R129+R163+R194+#REF!)</f>
        <v>#REF!</v>
      </c>
      <c r="S360" s="70" t="e">
        <f>SUM(#REF!+S129+S163+S194+#REF!)</f>
        <v>#REF!</v>
      </c>
      <c r="T360" s="70" t="e">
        <f>SUM(#REF!+T129+T163+T194+#REF!)</f>
        <v>#REF!</v>
      </c>
      <c r="U360" s="70" t="e">
        <f>SUM(#REF!+U129+U163+U194+#REF!)</f>
        <v>#REF!</v>
      </c>
      <c r="V360" s="70" t="e">
        <f>SUM(#REF!+V129+V163+V194+#REF!)</f>
        <v>#REF!</v>
      </c>
      <c r="W360" s="70" t="e">
        <f>SUM(#REF!+W129+W163+W194+#REF!)</f>
        <v>#REF!</v>
      </c>
      <c r="X360" s="70" t="e">
        <f>SUM(#REF!+X129+X163+X194+#REF!)</f>
        <v>#REF!</v>
      </c>
    </row>
    <row r="361" spans="1:24" ht="13.5" hidden="1" customHeight="1" x14ac:dyDescent="0.2">
      <c r="A361" s="3966" t="s">
        <v>1257</v>
      </c>
      <c r="B361" s="3966"/>
      <c r="C361" s="3966"/>
      <c r="D361" s="3966"/>
      <c r="E361" s="3966"/>
      <c r="F361" s="3966"/>
      <c r="G361" s="3966"/>
      <c r="H361" s="3966"/>
      <c r="I361" s="1485">
        <f t="shared" si="196"/>
        <v>127.7</v>
      </c>
      <c r="J361" s="70">
        <f>SUM(J36+J37)</f>
        <v>127.7</v>
      </c>
      <c r="K361" s="70">
        <f>SUM(K36+K37)</f>
        <v>122.1</v>
      </c>
      <c r="L361" s="70">
        <f>SUM(L36+L37)</f>
        <v>0</v>
      </c>
      <c r="M361" s="1485">
        <f t="shared" si="197"/>
        <v>153.5</v>
      </c>
      <c r="N361" s="70">
        <f>SUM(N36+N37)</f>
        <v>153.5</v>
      </c>
      <c r="O361" s="70">
        <f>SUM(O36+O37)</f>
        <v>142.4</v>
      </c>
      <c r="P361" s="70">
        <f>SUM(P36)</f>
        <v>0</v>
      </c>
      <c r="Q361" s="1485">
        <f t="shared" si="198"/>
        <v>153.5</v>
      </c>
      <c r="R361" s="70">
        <f>SUM(R36+R37)</f>
        <v>153.5</v>
      </c>
      <c r="S361" s="70">
        <f>SUM(S36+S37)</f>
        <v>142.4</v>
      </c>
      <c r="T361" s="70">
        <f>SUM(T36)</f>
        <v>0</v>
      </c>
      <c r="U361" s="1485">
        <f t="shared" si="199"/>
        <v>153.5</v>
      </c>
      <c r="V361" s="70">
        <f>SUM(V36+V37)</f>
        <v>153.5</v>
      </c>
      <c r="W361" s="70">
        <f>SUM(W36+W37)</f>
        <v>142.4</v>
      </c>
      <c r="X361" s="70">
        <f>SUM(X36+X37)</f>
        <v>0</v>
      </c>
    </row>
    <row r="362" spans="1:24" ht="14.25" hidden="1" customHeight="1" x14ac:dyDescent="0.2">
      <c r="A362" s="3966" t="s">
        <v>1258</v>
      </c>
      <c r="B362" s="3966"/>
      <c r="C362" s="3966"/>
      <c r="D362" s="3966"/>
      <c r="E362" s="3966"/>
      <c r="F362" s="3966"/>
      <c r="G362" s="3966"/>
      <c r="H362" s="3966"/>
      <c r="I362" s="1485">
        <f t="shared" si="196"/>
        <v>0</v>
      </c>
      <c r="J362" s="70">
        <f>SUM(J26)</f>
        <v>0</v>
      </c>
      <c r="K362" s="70">
        <f>SUM(K26)</f>
        <v>0</v>
      </c>
      <c r="L362" s="70">
        <f>SUM(L26)</f>
        <v>0</v>
      </c>
      <c r="M362" s="1485">
        <f t="shared" si="197"/>
        <v>0</v>
      </c>
      <c r="N362" s="70">
        <f>SUM(N26)</f>
        <v>0</v>
      </c>
      <c r="O362" s="70">
        <f>SUM(O26)</f>
        <v>0</v>
      </c>
      <c r="P362" s="70">
        <f>SUM(P26)</f>
        <v>0</v>
      </c>
      <c r="Q362" s="1485">
        <f t="shared" si="198"/>
        <v>0</v>
      </c>
      <c r="R362" s="70">
        <f>SUM(R26)</f>
        <v>0</v>
      </c>
      <c r="S362" s="70">
        <f>SUM(S26)</f>
        <v>0</v>
      </c>
      <c r="T362" s="70">
        <f>SUM(T26)</f>
        <v>0</v>
      </c>
      <c r="U362" s="1485">
        <f t="shared" si="199"/>
        <v>0</v>
      </c>
      <c r="V362" s="70">
        <f>SUM(V26)</f>
        <v>0</v>
      </c>
      <c r="W362" s="70">
        <f>SUM(W26)</f>
        <v>0</v>
      </c>
      <c r="X362" s="70">
        <f>SUM(X26)</f>
        <v>0</v>
      </c>
    </row>
    <row r="363" spans="1:24" ht="13.5" hidden="1" customHeight="1" x14ac:dyDescent="0.2">
      <c r="A363" s="3966" t="s">
        <v>1259</v>
      </c>
      <c r="B363" s="3966"/>
      <c r="C363" s="3966"/>
      <c r="D363" s="3966"/>
      <c r="E363" s="3966"/>
      <c r="F363" s="3966"/>
      <c r="G363" s="3966"/>
      <c r="H363" s="3966"/>
      <c r="I363" s="1485">
        <f t="shared" si="196"/>
        <v>82.6</v>
      </c>
      <c r="J363" s="70">
        <f>SUM(J228)</f>
        <v>82.6</v>
      </c>
      <c r="K363" s="70">
        <f>SUM(K228)</f>
        <v>0</v>
      </c>
      <c r="L363" s="70">
        <f>SUM(L228)</f>
        <v>0</v>
      </c>
      <c r="M363" s="1485">
        <f t="shared" si="197"/>
        <v>6</v>
      </c>
      <c r="N363" s="70">
        <f>SUM(N228)</f>
        <v>6</v>
      </c>
      <c r="O363" s="70">
        <f>SUM(O228)</f>
        <v>0</v>
      </c>
      <c r="P363" s="70">
        <f>SUM(P228)</f>
        <v>0</v>
      </c>
      <c r="Q363" s="1485">
        <f t="shared" si="198"/>
        <v>88</v>
      </c>
      <c r="R363" s="70">
        <f>SUM(R228)</f>
        <v>88</v>
      </c>
      <c r="S363" s="70">
        <f>SUM(S228)</f>
        <v>0</v>
      </c>
      <c r="T363" s="70">
        <f>SUM(T228)</f>
        <v>0</v>
      </c>
      <c r="U363" s="1485">
        <f t="shared" si="199"/>
        <v>88</v>
      </c>
      <c r="V363" s="70">
        <f>SUM(V228)</f>
        <v>88</v>
      </c>
      <c r="W363" s="70">
        <f>SUM(W228)</f>
        <v>0</v>
      </c>
      <c r="X363" s="70">
        <f>SUM(X228)</f>
        <v>0</v>
      </c>
    </row>
    <row r="364" spans="1:24" ht="13.5" hidden="1" customHeight="1" x14ac:dyDescent="0.2">
      <c r="A364" s="3966" t="s">
        <v>1260</v>
      </c>
      <c r="B364" s="3966"/>
      <c r="C364" s="3966"/>
      <c r="D364" s="3966"/>
      <c r="E364" s="3966"/>
      <c r="F364" s="3966"/>
      <c r="G364" s="3966"/>
      <c r="H364" s="3966"/>
      <c r="I364" s="1485">
        <f>SUM(J364+L364)</f>
        <v>281.89999999999998</v>
      </c>
      <c r="J364" s="70">
        <f>SUM(J231)</f>
        <v>0</v>
      </c>
      <c r="K364" s="70">
        <f>SUM(K231)</f>
        <v>0</v>
      </c>
      <c r="L364" s="70">
        <f>SUM(L231)</f>
        <v>281.89999999999998</v>
      </c>
      <c r="M364" s="1485">
        <f t="shared" si="197"/>
        <v>0</v>
      </c>
      <c r="N364" s="70">
        <f>SUM(N231)</f>
        <v>0</v>
      </c>
      <c r="O364" s="70">
        <f>SUM(O231)</f>
        <v>0</v>
      </c>
      <c r="P364" s="70">
        <f>SUM(P231)</f>
        <v>0</v>
      </c>
      <c r="Q364" s="1485">
        <f t="shared" si="198"/>
        <v>1135.0999999999999</v>
      </c>
      <c r="R364" s="70">
        <f>SUM(R231)</f>
        <v>0</v>
      </c>
      <c r="S364" s="70">
        <f>SUM(S231)</f>
        <v>0</v>
      </c>
      <c r="T364" s="70">
        <f>SUM(T231)</f>
        <v>1135.0999999999999</v>
      </c>
      <c r="U364" s="1485">
        <f t="shared" si="199"/>
        <v>1135.0999999999999</v>
      </c>
      <c r="V364" s="70">
        <f>SUM(V231)</f>
        <v>0</v>
      </c>
      <c r="W364" s="70">
        <f>SUM(W231)</f>
        <v>0</v>
      </c>
      <c r="X364" s="70">
        <f>SUM(X231)</f>
        <v>1135.0999999999999</v>
      </c>
    </row>
    <row r="365" spans="1:24" ht="13.5" hidden="1" customHeight="1" x14ac:dyDescent="0.2">
      <c r="A365" s="3971" t="s">
        <v>1261</v>
      </c>
      <c r="B365" s="3971"/>
      <c r="C365" s="3971"/>
      <c r="D365" s="3971"/>
      <c r="E365" s="3971"/>
      <c r="F365" s="3971"/>
      <c r="G365" s="3971"/>
      <c r="H365" s="3971"/>
      <c r="I365" s="1486" t="e">
        <f t="shared" si="196"/>
        <v>#REF!</v>
      </c>
      <c r="J365" s="1487" t="e">
        <f>SUM(J352+J353+J354+J355+J356+J357+J358+J359+J360+J361+J362+J363+J364)</f>
        <v>#REF!</v>
      </c>
      <c r="K365" s="1487" t="e">
        <f>SUM(K352+K353+K354+K355+K356+K357+K358+K359+K360+K361+K362+K363+K364)</f>
        <v>#REF!</v>
      </c>
      <c r="L365" s="1487" t="e">
        <f>SUM(L352+L353+L354+L355+L356+L357+L358+L359+L360+L361+L362+L363+L364)</f>
        <v>#REF!</v>
      </c>
      <c r="M365" s="1488" t="e">
        <f t="shared" si="197"/>
        <v>#REF!</v>
      </c>
      <c r="N365" s="1487" t="e">
        <f>SUM(N352:N364)</f>
        <v>#REF!</v>
      </c>
      <c r="O365" s="1487" t="e">
        <f>SUM(O352:O364)</f>
        <v>#REF!</v>
      </c>
      <c r="P365" s="1487" t="e">
        <f>SUM(P352:P364)</f>
        <v>#REF!</v>
      </c>
      <c r="Q365" s="1486" t="e">
        <f t="shared" si="198"/>
        <v>#REF!</v>
      </c>
      <c r="R365" s="1487" t="e">
        <f>SUM(R352+R353+R354+R355+R356+R357+R358+R359+R360+R361+R362+R363+R364)</f>
        <v>#REF!</v>
      </c>
      <c r="S365" s="1487" t="e">
        <f>SUM(S352+S353+S354+S355+S356+S357+S358+S359+S360+S361+S362+S363+S364)</f>
        <v>#REF!</v>
      </c>
      <c r="T365" s="1487" t="e">
        <f>SUM(T352+T353+T354+T355+T356+T357+T358+T359+T360+T361+T362+T363+T364)</f>
        <v>#REF!</v>
      </c>
      <c r="U365" s="1486" t="e">
        <f t="shared" si="199"/>
        <v>#REF!</v>
      </c>
      <c r="V365" s="1487" t="e">
        <f>SUM(V352+V353+V354+V355+V356+V357+V358+V359+V360+V361+V362+V363+V364)</f>
        <v>#REF!</v>
      </c>
      <c r="W365" s="1487" t="e">
        <f>SUM(W352+W353+W354+W355+W356+W357+W358+W359+W360+W361+W362+W363+W364)</f>
        <v>#REF!</v>
      </c>
      <c r="X365" s="1487" t="e">
        <f>SUM(X352+X353+X354+X355+X356+X357+X358+X359+X360+X361+X362+X363+X364)</f>
        <v>#REF!</v>
      </c>
    </row>
    <row r="366" spans="1:24" ht="13.5" hidden="1" customHeight="1" x14ac:dyDescent="0.2">
      <c r="A366" s="3966" t="s">
        <v>1262</v>
      </c>
      <c r="B366" s="3966"/>
      <c r="C366" s="3966"/>
      <c r="D366" s="3966"/>
      <c r="E366" s="3966"/>
      <c r="F366" s="3966"/>
      <c r="G366" s="3966"/>
      <c r="H366" s="3966"/>
      <c r="I366" s="1485">
        <f t="shared" si="196"/>
        <v>77.5</v>
      </c>
      <c r="J366" s="70">
        <f>SUM(J123+J125+J131+J134+J137+J139+J196+J212)</f>
        <v>77.5</v>
      </c>
      <c r="K366" s="70">
        <f>SUM(K123+K125+K131+K134+K137+K139+K196+K212)</f>
        <v>73.899999999999991</v>
      </c>
      <c r="L366" s="70">
        <f>SUM(L123+L125+L131+L134+L137+L139+L196+L212)</f>
        <v>0</v>
      </c>
      <c r="M366" s="1485">
        <f t="shared" si="197"/>
        <v>79.300000000000011</v>
      </c>
      <c r="N366" s="70">
        <f>SUM(N123+N125+N131+N134+N137+N139+N196+N212)</f>
        <v>79.300000000000011</v>
      </c>
      <c r="O366" s="70">
        <f>SUM(O123+O125+O131+O134+O137+O139+O196+O212)</f>
        <v>75.400000000000006</v>
      </c>
      <c r="P366" s="70">
        <f>SUM(P123+P125+P131+P134+P137+P139+P196+P212)</f>
        <v>0</v>
      </c>
      <c r="Q366" s="1485">
        <f t="shared" si="198"/>
        <v>76.000000000000014</v>
      </c>
      <c r="R366" s="70">
        <f>SUM(R123+R125+R131+R134+R137+R139+R196+R212)</f>
        <v>76.000000000000014</v>
      </c>
      <c r="S366" s="70">
        <f>SUM(S123+S125+S131+S134+S137+S139+S196+S212)</f>
        <v>72.2</v>
      </c>
      <c r="T366" s="70">
        <f>SUM(T123+T125+T131+T134+T137+T139+T196+T212)</f>
        <v>0</v>
      </c>
      <c r="U366" s="1485">
        <f t="shared" si="199"/>
        <v>76.000000000000014</v>
      </c>
      <c r="V366" s="70">
        <f>SUM(V123+V125+V131+V134+V137+V139+V196+V212)</f>
        <v>76.000000000000014</v>
      </c>
      <c r="W366" s="70">
        <f>SUM(W123+W125+W131+W134+W137+W139+W196+W212)</f>
        <v>72.2</v>
      </c>
      <c r="X366" s="70">
        <f>SUM(X123+X125+X131+X134+X137+X139+X196+X212)</f>
        <v>0</v>
      </c>
    </row>
    <row r="367" spans="1:24" ht="13.5" hidden="1" customHeight="1" x14ac:dyDescent="0.2">
      <c r="A367" s="3966" t="s">
        <v>1263</v>
      </c>
      <c r="B367" s="3966"/>
      <c r="C367" s="3966"/>
      <c r="D367" s="3966"/>
      <c r="E367" s="3966"/>
      <c r="F367" s="3966"/>
      <c r="G367" s="3966"/>
      <c r="H367" s="3966"/>
      <c r="I367" s="1485">
        <f t="shared" si="196"/>
        <v>55.4</v>
      </c>
      <c r="J367" s="70">
        <f>SUM(J141+J144)</f>
        <v>55.4</v>
      </c>
      <c r="K367" s="70">
        <f>SUM(K141+K144)</f>
        <v>46.3</v>
      </c>
      <c r="L367" s="70">
        <f>SUM(L141+L144)</f>
        <v>0</v>
      </c>
      <c r="M367" s="1485">
        <f t="shared" si="197"/>
        <v>74.8</v>
      </c>
      <c r="N367" s="70">
        <f>SUM(N141+N144)</f>
        <v>74.8</v>
      </c>
      <c r="O367" s="70">
        <f>SUM(O141+O144)</f>
        <v>58.699999999999996</v>
      </c>
      <c r="P367" s="70">
        <f>SUM(P141+P144)</f>
        <v>0</v>
      </c>
      <c r="Q367" s="1485">
        <f t="shared" si="198"/>
        <v>74.8</v>
      </c>
      <c r="R367" s="70">
        <f>SUM(R141+R144)</f>
        <v>74.8</v>
      </c>
      <c r="S367" s="70">
        <f>SUM(S141+S144)</f>
        <v>58.699999999999996</v>
      </c>
      <c r="T367" s="70">
        <f>SUM(T141+T144)</f>
        <v>0</v>
      </c>
      <c r="U367" s="1485">
        <f t="shared" si="199"/>
        <v>74.8</v>
      </c>
      <c r="V367" s="70">
        <f>SUM(V141+V144)</f>
        <v>74.8</v>
      </c>
      <c r="W367" s="70">
        <f>SUM(W141+W144)</f>
        <v>58.699999999999996</v>
      </c>
      <c r="X367" s="70">
        <f>SUM(X141+X144)</f>
        <v>0</v>
      </c>
    </row>
    <row r="368" spans="1:24" ht="13.5" hidden="1" customHeight="1" x14ac:dyDescent="0.2">
      <c r="A368" s="3966" t="s">
        <v>1264</v>
      </c>
      <c r="B368" s="3966"/>
      <c r="C368" s="3966"/>
      <c r="D368" s="3966"/>
      <c r="E368" s="3966"/>
      <c r="F368" s="3966"/>
      <c r="G368" s="3966"/>
      <c r="H368" s="3966"/>
      <c r="I368" s="1485">
        <f t="shared" si="196"/>
        <v>728.5</v>
      </c>
      <c r="J368" s="70">
        <f>SUM(J160)</f>
        <v>728.5</v>
      </c>
      <c r="K368" s="70">
        <f>SUM(K160)</f>
        <v>667.9</v>
      </c>
      <c r="L368" s="70">
        <f>SUM(L160)</f>
        <v>0</v>
      </c>
      <c r="M368" s="1485">
        <f t="shared" si="197"/>
        <v>798.6</v>
      </c>
      <c r="N368" s="70">
        <f>SUM(N160)</f>
        <v>798.6</v>
      </c>
      <c r="O368" s="70">
        <f>SUM(O160)</f>
        <v>738.1</v>
      </c>
      <c r="P368" s="70">
        <f>SUM(P160)</f>
        <v>0</v>
      </c>
      <c r="Q368" s="1485">
        <f t="shared" si="198"/>
        <v>798.6</v>
      </c>
      <c r="R368" s="70">
        <f>SUM(R160)</f>
        <v>798.6</v>
      </c>
      <c r="S368" s="70">
        <f>SUM(S160)</f>
        <v>692.1</v>
      </c>
      <c r="T368" s="70">
        <f>SUM(T160)</f>
        <v>0</v>
      </c>
      <c r="U368" s="1485">
        <f t="shared" si="199"/>
        <v>798.6</v>
      </c>
      <c r="V368" s="70">
        <f>SUM(V160)</f>
        <v>798.6</v>
      </c>
      <c r="W368" s="70">
        <f>SUM(W160)</f>
        <v>692.1</v>
      </c>
      <c r="X368" s="70">
        <f>SUM(X160)</f>
        <v>0</v>
      </c>
    </row>
    <row r="369" spans="1:24" ht="13.5" hidden="1" customHeight="1" x14ac:dyDescent="0.2">
      <c r="A369" s="3966" t="s">
        <v>1265</v>
      </c>
      <c r="B369" s="3966"/>
      <c r="C369" s="3966"/>
      <c r="D369" s="3966"/>
      <c r="E369" s="3966"/>
      <c r="F369" s="3966"/>
      <c r="G369" s="3966"/>
      <c r="H369" s="3966"/>
      <c r="I369" s="1485">
        <f t="shared" si="196"/>
        <v>278.49999999999994</v>
      </c>
      <c r="J369" s="70">
        <f>SUM(J158-J147-J148)</f>
        <v>278.49999999999994</v>
      </c>
      <c r="K369" s="70">
        <f>SUM(K158-K147-K148)</f>
        <v>268.40000000000003</v>
      </c>
      <c r="L369" s="70">
        <f>SUM(L158-L147-L148)</f>
        <v>0</v>
      </c>
      <c r="M369" s="1485">
        <f t="shared" si="197"/>
        <v>388.59999999999997</v>
      </c>
      <c r="N369" s="70">
        <f>SUM(N158-N147-N148)</f>
        <v>388.59999999999997</v>
      </c>
      <c r="O369" s="70">
        <f>SUM(O158-O147-O148)</f>
        <v>376.80000000000007</v>
      </c>
      <c r="P369" s="70">
        <f>SUM(P158-P147-P148)</f>
        <v>0</v>
      </c>
      <c r="Q369" s="1485">
        <f t="shared" si="198"/>
        <v>379</v>
      </c>
      <c r="R369" s="70">
        <f>SUM(R158-R147-R148)</f>
        <v>379</v>
      </c>
      <c r="S369" s="70">
        <f>SUM(S158-S147-S148)</f>
        <v>367.00000000000006</v>
      </c>
      <c r="T369" s="70">
        <f>SUM(T158-T147-T148)</f>
        <v>0</v>
      </c>
      <c r="U369" s="1485">
        <f t="shared" si="199"/>
        <v>379</v>
      </c>
      <c r="V369" s="70">
        <f>SUM(V158-V147-V148)</f>
        <v>379</v>
      </c>
      <c r="W369" s="70">
        <f>SUM(W158-W147-W148)</f>
        <v>367.00000000000006</v>
      </c>
      <c r="X369" s="70">
        <f>SUM(X158-X147-X148)</f>
        <v>0</v>
      </c>
    </row>
    <row r="370" spans="1:24" hidden="1" x14ac:dyDescent="0.2">
      <c r="A370" s="3966" t="s">
        <v>1266</v>
      </c>
      <c r="B370" s="3966"/>
      <c r="C370" s="3966"/>
      <c r="D370" s="3966"/>
      <c r="E370" s="3966"/>
      <c r="F370" s="3966"/>
      <c r="G370" s="3966"/>
      <c r="H370" s="3966"/>
      <c r="I370" s="1485" t="e">
        <f t="shared" si="196"/>
        <v>#REF!</v>
      </c>
      <c r="J370" s="70" t="e">
        <f>SUM(#REF!+J128+J167+J168+J169+#REF!+#REF!+#REF!)</f>
        <v>#REF!</v>
      </c>
      <c r="K370" s="70" t="e">
        <f>SUM(#REF!+K128+K167+K168+K169+#REF!+#REF!+#REF!)</f>
        <v>#REF!</v>
      </c>
      <c r="L370" s="70" t="e">
        <f>SUM(#REF!+L128+L167+L168+L169+#REF!+#REF!+#REF!)</f>
        <v>#REF!</v>
      </c>
      <c r="M370" s="1485" t="e">
        <f t="shared" si="197"/>
        <v>#REF!</v>
      </c>
      <c r="N370" s="70" t="e">
        <f>SUM(#REF!+N128+N167+N168+N169+#REF!+#REF!+#REF!)</f>
        <v>#REF!</v>
      </c>
      <c r="O370" s="70" t="e">
        <f>SUM(#REF!+O128+O167+O168+O169+#REF!+#REF!+#REF!)</f>
        <v>#REF!</v>
      </c>
      <c r="P370" s="70" t="e">
        <f>SUM(#REF!+P128+P167+P168+P169+#REF!+#REF!+#REF!)</f>
        <v>#REF!</v>
      </c>
      <c r="Q370" s="1485" t="e">
        <f t="shared" si="198"/>
        <v>#REF!</v>
      </c>
      <c r="R370" s="70" t="e">
        <f>SUM(#REF!+R128+R167+R168+R169+#REF!+#REF!+#REF!)</f>
        <v>#REF!</v>
      </c>
      <c r="S370" s="70" t="e">
        <f>SUM(#REF!+S128+S167+S168+S169+#REF!+#REF!+#REF!)</f>
        <v>#REF!</v>
      </c>
      <c r="T370" s="70" t="e">
        <f>SUM(#REF!+T128+T167+T168+T169+#REF!+#REF!+#REF!)</f>
        <v>#REF!</v>
      </c>
      <c r="U370" s="1485" t="e">
        <f t="shared" si="199"/>
        <v>#REF!</v>
      </c>
      <c r="V370" s="70" t="e">
        <f>SUM(#REF!+V128+V167+V168+V169+#REF!+#REF!+#REF!)</f>
        <v>#REF!</v>
      </c>
      <c r="W370" s="70" t="e">
        <f>SUM(#REF!+W128+W167+W168+W169+#REF!+#REF!+#REF!)</f>
        <v>#REF!</v>
      </c>
      <c r="X370" s="70" t="e">
        <f>SUM(#REF!+X128+X167+X168+X169+#REF!+#REF!+#REF!)</f>
        <v>#REF!</v>
      </c>
    </row>
    <row r="371" spans="1:24" ht="13.5" hidden="1" customHeight="1" x14ac:dyDescent="0.2">
      <c r="A371" s="3972" t="s">
        <v>1267</v>
      </c>
      <c r="B371" s="3972"/>
      <c r="C371" s="3972"/>
      <c r="D371" s="3972"/>
      <c r="E371" s="3972"/>
      <c r="F371" s="3972"/>
      <c r="G371" s="3972"/>
      <c r="H371" s="3972"/>
      <c r="I371" s="1489" t="e">
        <f t="shared" si="196"/>
        <v>#REF!</v>
      </c>
      <c r="J371" s="1490" t="e">
        <f>SUM(J366+J367+J368+J369+J370)</f>
        <v>#REF!</v>
      </c>
      <c r="K371" s="1490" t="e">
        <f>SUM(K366+K367+K368+K369+K370)</f>
        <v>#REF!</v>
      </c>
      <c r="L371" s="1490" t="e">
        <f>SUM(L366+L367+L368+L369+L370)</f>
        <v>#REF!</v>
      </c>
      <c r="M371" s="1485" t="e">
        <f t="shared" si="197"/>
        <v>#REF!</v>
      </c>
      <c r="N371" s="1490" t="e">
        <f>SUM(N366+N367+N368+N369+N370)</f>
        <v>#REF!</v>
      </c>
      <c r="O371" s="1490" t="e">
        <f>SUM(O366+O367+O368+O369+O370)</f>
        <v>#REF!</v>
      </c>
      <c r="P371" s="1490" t="e">
        <f>SUM(P366+P367+P368+P369+P370)</f>
        <v>#REF!</v>
      </c>
      <c r="Q371" s="1485" t="e">
        <f t="shared" si="198"/>
        <v>#REF!</v>
      </c>
      <c r="R371" s="1490" t="e">
        <f>SUM(R366+R367+R368+R369+R370)</f>
        <v>#REF!</v>
      </c>
      <c r="S371" s="1490" t="e">
        <f>SUM(S366+S367+S368+S369+S370)</f>
        <v>#REF!</v>
      </c>
      <c r="T371" s="1490" t="e">
        <f>SUM(T366+T367+T368+T369+T370)</f>
        <v>#REF!</v>
      </c>
      <c r="U371" s="1489" t="e">
        <f t="shared" si="199"/>
        <v>#REF!</v>
      </c>
      <c r="V371" s="1490" t="e">
        <f>SUM(V366+V367+V368+V369+V370)</f>
        <v>#REF!</v>
      </c>
      <c r="W371" s="1490" t="e">
        <f>SUM(W366+W367+W368+W369+W370)</f>
        <v>#REF!</v>
      </c>
      <c r="X371" s="1490" t="e">
        <f>SUM(X366+X367+X368+X369+X370)</f>
        <v>#REF!</v>
      </c>
    </row>
    <row r="372" spans="1:24" ht="13.5" hidden="1" customHeight="1" x14ac:dyDescent="0.2">
      <c r="A372" s="3974" t="s">
        <v>1268</v>
      </c>
      <c r="B372" s="3974"/>
      <c r="C372" s="3974"/>
      <c r="D372" s="3974"/>
      <c r="E372" s="3974"/>
      <c r="F372" s="3974"/>
      <c r="G372" s="3974"/>
      <c r="H372" s="3974"/>
      <c r="I372" s="1485">
        <f t="shared" si="196"/>
        <v>0</v>
      </c>
      <c r="J372" s="1491">
        <f>SUM(J313+J327)</f>
        <v>0</v>
      </c>
      <c r="K372" s="1491">
        <f>SUM(K313+K327)</f>
        <v>0</v>
      </c>
      <c r="L372" s="1491">
        <f>SUM(L313+L327)</f>
        <v>0</v>
      </c>
      <c r="M372" s="1485">
        <f t="shared" si="197"/>
        <v>0</v>
      </c>
      <c r="N372" s="1491">
        <f>SUM(N313+N327)</f>
        <v>0</v>
      </c>
      <c r="O372" s="1491">
        <f>SUM(O313+O327)</f>
        <v>0</v>
      </c>
      <c r="P372" s="1491">
        <f>SUM(P313+P327)</f>
        <v>0</v>
      </c>
      <c r="Q372" s="1485">
        <f t="shared" si="198"/>
        <v>0</v>
      </c>
      <c r="R372" s="1491">
        <f>SUM(R313+R327)</f>
        <v>0</v>
      </c>
      <c r="S372" s="1491">
        <f>SUM(S313+S327)</f>
        <v>0</v>
      </c>
      <c r="T372" s="1491">
        <f>SUM(T313+T327)</f>
        <v>0</v>
      </c>
      <c r="U372" s="1485">
        <f t="shared" si="199"/>
        <v>0</v>
      </c>
      <c r="V372" s="1491">
        <f>SUM(V313+V327)</f>
        <v>0</v>
      </c>
      <c r="W372" s="1491">
        <f>SUM(W313+W327)</f>
        <v>0</v>
      </c>
      <c r="X372" s="1491">
        <f>SUM(X313+X327)</f>
        <v>0</v>
      </c>
    </row>
    <row r="373" spans="1:24" ht="13.5" hidden="1" customHeight="1" x14ac:dyDescent="0.2">
      <c r="A373" s="3975" t="s">
        <v>1269</v>
      </c>
      <c r="B373" s="3975"/>
      <c r="C373" s="3975"/>
      <c r="D373" s="3975"/>
      <c r="E373" s="3975"/>
      <c r="F373" s="3975"/>
      <c r="G373" s="3975"/>
      <c r="H373" s="3975"/>
      <c r="I373" s="1485" t="e">
        <f t="shared" si="196"/>
        <v>#REF!</v>
      </c>
      <c r="J373" s="70" t="e">
        <f>SUM(#REF!+#REF!+#REF!)</f>
        <v>#REF!</v>
      </c>
      <c r="K373" s="70" t="e">
        <f>SUM(#REF!+#REF!+#REF!)</f>
        <v>#REF!</v>
      </c>
      <c r="L373" s="70" t="e">
        <f>SUM(#REF!+#REF!+#REF!)</f>
        <v>#REF!</v>
      </c>
      <c r="M373" s="1485" t="e">
        <f t="shared" si="197"/>
        <v>#REF!</v>
      </c>
      <c r="N373" s="70" t="e">
        <f>SUM(#REF!+#REF!+#REF!)</f>
        <v>#REF!</v>
      </c>
      <c r="O373" s="70" t="e">
        <f>SUM(#REF!+#REF!+#REF!)</f>
        <v>#REF!</v>
      </c>
      <c r="P373" s="70" t="e">
        <f>SUM(#REF!+#REF!+#REF!)</f>
        <v>#REF!</v>
      </c>
      <c r="Q373" s="1485" t="e">
        <f t="shared" si="198"/>
        <v>#REF!</v>
      </c>
      <c r="R373" s="70" t="e">
        <f>SUM(#REF!+#REF!+#REF!)</f>
        <v>#REF!</v>
      </c>
      <c r="S373" s="70" t="e">
        <f>SUM(#REF!+#REF!+#REF!)</f>
        <v>#REF!</v>
      </c>
      <c r="T373" s="70" t="e">
        <f>SUM(#REF!+#REF!+#REF!)</f>
        <v>#REF!</v>
      </c>
      <c r="U373" s="1485" t="e">
        <f t="shared" si="199"/>
        <v>#REF!</v>
      </c>
      <c r="V373" s="70" t="e">
        <f>SUM(#REF!+#REF!+#REF!)</f>
        <v>#REF!</v>
      </c>
      <c r="W373" s="70" t="e">
        <f>SUM(#REF!+#REF!+#REF!)</f>
        <v>#REF!</v>
      </c>
      <c r="X373" s="70" t="e">
        <f>SUM(#REF!+#REF!+#REF!)</f>
        <v>#REF!</v>
      </c>
    </row>
    <row r="374" spans="1:24" ht="13.5" hidden="1" customHeight="1" x14ac:dyDescent="0.2">
      <c r="A374" s="3975" t="s">
        <v>1270</v>
      </c>
      <c r="B374" s="3975"/>
      <c r="C374" s="3975"/>
      <c r="D374" s="3975"/>
      <c r="E374" s="3975"/>
      <c r="F374" s="3975"/>
      <c r="G374" s="3975"/>
      <c r="H374" s="3975"/>
      <c r="I374" s="1485">
        <f t="shared" si="196"/>
        <v>0</v>
      </c>
      <c r="J374" s="70">
        <f>SUM(J319)</f>
        <v>0</v>
      </c>
      <c r="K374" s="70">
        <f>SUM(K319)</f>
        <v>0</v>
      </c>
      <c r="L374" s="70">
        <f>SUM(L319)</f>
        <v>0</v>
      </c>
      <c r="M374" s="1485">
        <f t="shared" si="197"/>
        <v>0</v>
      </c>
      <c r="N374" s="70">
        <f>SUM(N319)</f>
        <v>0</v>
      </c>
      <c r="O374" s="70">
        <f>SUM(O319)</f>
        <v>0</v>
      </c>
      <c r="P374" s="70">
        <f>SUM(P319)</f>
        <v>0</v>
      </c>
      <c r="Q374" s="1485">
        <f t="shared" si="198"/>
        <v>0</v>
      </c>
      <c r="R374" s="70">
        <f>SUM(R319)</f>
        <v>0</v>
      </c>
      <c r="S374" s="70">
        <f>SUM(S319)</f>
        <v>0</v>
      </c>
      <c r="T374" s="70">
        <f>SUM(T319)</f>
        <v>0</v>
      </c>
      <c r="U374" s="1485">
        <f t="shared" si="199"/>
        <v>0</v>
      </c>
      <c r="V374" s="70">
        <f>SUM(V319)</f>
        <v>0</v>
      </c>
      <c r="W374" s="70">
        <f>SUM(W319)</f>
        <v>0</v>
      </c>
      <c r="X374" s="70">
        <f>SUM(X319)</f>
        <v>0</v>
      </c>
    </row>
    <row r="375" spans="1:24" ht="13.5" hidden="1" customHeight="1" x14ac:dyDescent="0.2">
      <c r="A375" s="3975" t="s">
        <v>1271</v>
      </c>
      <c r="B375" s="3975"/>
      <c r="C375" s="3975"/>
      <c r="D375" s="3975"/>
      <c r="E375" s="3975"/>
      <c r="F375" s="3975"/>
      <c r="G375" s="3975"/>
      <c r="H375" s="3975"/>
      <c r="I375" s="1492" t="e">
        <f t="shared" si="196"/>
        <v>#REF!</v>
      </c>
      <c r="J375" s="1493" t="e">
        <f>SUM(J372+J373+J374)</f>
        <v>#REF!</v>
      </c>
      <c r="K375" s="1493" t="e">
        <f>SUM(K372+K373+K374)</f>
        <v>#REF!</v>
      </c>
      <c r="L375" s="1493" t="e">
        <f>SUM(L372+L373+L374)</f>
        <v>#REF!</v>
      </c>
      <c r="M375" s="1485" t="e">
        <f t="shared" si="197"/>
        <v>#REF!</v>
      </c>
      <c r="N375" s="1493" t="e">
        <f>SUM(N372+N373+N374)</f>
        <v>#REF!</v>
      </c>
      <c r="O375" s="1493" t="e">
        <f>SUM(O372+O373+O374)</f>
        <v>#REF!</v>
      </c>
      <c r="P375" s="1493" t="e">
        <f>SUM(P372+P373+P374)</f>
        <v>#REF!</v>
      </c>
      <c r="Q375" s="1485" t="e">
        <f t="shared" si="198"/>
        <v>#REF!</v>
      </c>
      <c r="R375" s="1493" t="e">
        <f>SUM(R372+R373+R374)</f>
        <v>#REF!</v>
      </c>
      <c r="S375" s="1493" t="e">
        <f>SUM(S372+S373+S374)</f>
        <v>#REF!</v>
      </c>
      <c r="T375" s="1493" t="e">
        <f>SUM(T372+T373+T374)</f>
        <v>#REF!</v>
      </c>
      <c r="U375" s="1492" t="e">
        <f t="shared" si="199"/>
        <v>#REF!</v>
      </c>
      <c r="V375" s="1493" t="e">
        <f>SUM(V372+V373+V374)</f>
        <v>#REF!</v>
      </c>
      <c r="W375" s="1493" t="e">
        <f>SUM(W372+W373+W374)</f>
        <v>#REF!</v>
      </c>
      <c r="X375" s="1493" t="e">
        <f>SUM(X372+X373+X374)</f>
        <v>#REF!</v>
      </c>
    </row>
    <row r="376" spans="1:24" ht="13.5" hidden="1" customHeight="1" x14ac:dyDescent="0.2">
      <c r="A376" s="3972" t="s">
        <v>1272</v>
      </c>
      <c r="B376" s="3972"/>
      <c r="C376" s="3972"/>
      <c r="D376" s="3972"/>
      <c r="E376" s="3972"/>
      <c r="F376" s="3972"/>
      <c r="G376" s="3972"/>
      <c r="H376" s="3972"/>
      <c r="I376" s="1485" t="e">
        <f t="shared" si="196"/>
        <v>#REF!</v>
      </c>
      <c r="J376" s="70" t="e">
        <f>SUM(#REF!)</f>
        <v>#REF!</v>
      </c>
      <c r="K376" s="70" t="e">
        <f>SUM(#REF!)</f>
        <v>#REF!</v>
      </c>
      <c r="L376" s="70" t="e">
        <f>SUM(#REF!)</f>
        <v>#REF!</v>
      </c>
      <c r="M376" s="1485" t="e">
        <f t="shared" si="197"/>
        <v>#REF!</v>
      </c>
      <c r="N376" s="70" t="e">
        <f>SUM(#REF!)</f>
        <v>#REF!</v>
      </c>
      <c r="O376" s="70" t="e">
        <f>SUM(#REF!)</f>
        <v>#REF!</v>
      </c>
      <c r="P376" s="70" t="e">
        <f>SUM(#REF!)</f>
        <v>#REF!</v>
      </c>
      <c r="Q376" s="1485" t="e">
        <f t="shared" si="198"/>
        <v>#REF!</v>
      </c>
      <c r="R376" s="70" t="e">
        <f>SUM(#REF!)</f>
        <v>#REF!</v>
      </c>
      <c r="S376" s="70" t="e">
        <f>SUM(#REF!)</f>
        <v>#REF!</v>
      </c>
      <c r="T376" s="70" t="e">
        <f>SUM(#REF!)</f>
        <v>#REF!</v>
      </c>
      <c r="U376" s="1485" t="e">
        <f t="shared" si="199"/>
        <v>#REF!</v>
      </c>
      <c r="V376" s="70" t="e">
        <f>SUM(#REF!)</f>
        <v>#REF!</v>
      </c>
      <c r="W376" s="70" t="e">
        <f>SUM(#REF!)</f>
        <v>#REF!</v>
      </c>
      <c r="X376" s="70" t="e">
        <f>SUM(#REF!)</f>
        <v>#REF!</v>
      </c>
    </row>
    <row r="377" spans="1:24" ht="13.5" hidden="1" customHeight="1" x14ac:dyDescent="0.2">
      <c r="A377" s="3972" t="s">
        <v>1273</v>
      </c>
      <c r="B377" s="3972"/>
      <c r="C377" s="3972"/>
      <c r="D377" s="3972"/>
      <c r="E377" s="3972"/>
      <c r="F377" s="3972"/>
      <c r="G377" s="3972"/>
      <c r="H377" s="3972"/>
      <c r="I377" s="1485">
        <f t="shared" si="196"/>
        <v>0</v>
      </c>
      <c r="J377" s="70"/>
      <c r="K377" s="1491"/>
      <c r="L377" s="1260"/>
      <c r="M377" s="1485">
        <f t="shared" si="197"/>
        <v>0</v>
      </c>
      <c r="N377" s="1260"/>
      <c r="O377" s="1491"/>
      <c r="P377" s="1260"/>
      <c r="Q377" s="1485">
        <f t="shared" si="198"/>
        <v>0</v>
      </c>
      <c r="R377" s="1260"/>
      <c r="S377" s="1491"/>
      <c r="T377" s="1260"/>
      <c r="U377" s="1485">
        <f t="shared" si="199"/>
        <v>0</v>
      </c>
      <c r="V377" s="1260"/>
      <c r="W377" s="1491"/>
      <c r="X377" s="1260"/>
    </row>
    <row r="378" spans="1:24" ht="13.5" hidden="1" customHeight="1" x14ac:dyDescent="0.2">
      <c r="A378" s="3972" t="s">
        <v>1274</v>
      </c>
      <c r="B378" s="3972"/>
      <c r="C378" s="3972"/>
      <c r="D378" s="3972"/>
      <c r="E378" s="3972"/>
      <c r="F378" s="3972"/>
      <c r="G378" s="3972"/>
      <c r="H378" s="3972"/>
      <c r="I378" s="1489" t="e">
        <f t="shared" si="196"/>
        <v>#REF!</v>
      </c>
      <c r="J378" s="1490" t="e">
        <f>SUM(J376+J377)</f>
        <v>#REF!</v>
      </c>
      <c r="K378" s="1490" t="e">
        <f>SUM(K376+K377)</f>
        <v>#REF!</v>
      </c>
      <c r="L378" s="1490" t="e">
        <f>SUM(L376+L377)</f>
        <v>#REF!</v>
      </c>
      <c r="M378" s="1485" t="e">
        <f t="shared" si="197"/>
        <v>#REF!</v>
      </c>
      <c r="N378" s="1490" t="e">
        <f>SUM(N376+N377)</f>
        <v>#REF!</v>
      </c>
      <c r="O378" s="1490" t="e">
        <f>SUM(O376+O377)</f>
        <v>#REF!</v>
      </c>
      <c r="P378" s="1490" t="e">
        <f>SUM(P376+P377)</f>
        <v>#REF!</v>
      </c>
      <c r="Q378" s="1485" t="e">
        <f t="shared" si="198"/>
        <v>#REF!</v>
      </c>
      <c r="R378" s="1490" t="e">
        <f>SUM(R376+R377)</f>
        <v>#REF!</v>
      </c>
      <c r="S378" s="1490" t="e">
        <f>SUM(S376+S377)</f>
        <v>#REF!</v>
      </c>
      <c r="T378" s="1490" t="e">
        <f>SUM(T376+T377)</f>
        <v>#REF!</v>
      </c>
      <c r="U378" s="1489" t="e">
        <f t="shared" si="199"/>
        <v>#REF!</v>
      </c>
      <c r="V378" s="1490" t="e">
        <f>SUM(V376+V377)</f>
        <v>#REF!</v>
      </c>
      <c r="W378" s="1490" t="e">
        <f>SUM(W376+W377)</f>
        <v>#REF!</v>
      </c>
      <c r="X378" s="1490" t="e">
        <f>SUM(X376+X377)</f>
        <v>#REF!</v>
      </c>
    </row>
    <row r="379" spans="1:24" ht="13.5" hidden="1" customHeight="1" x14ac:dyDescent="0.2">
      <c r="A379" s="3973" t="s">
        <v>1275</v>
      </c>
      <c r="B379" s="3973"/>
      <c r="C379" s="3973"/>
      <c r="D379" s="3973"/>
      <c r="E379" s="3973"/>
      <c r="F379" s="3973"/>
      <c r="G379" s="3973"/>
      <c r="H379" s="3973"/>
      <c r="I379" s="1485">
        <f t="shared" si="196"/>
        <v>0</v>
      </c>
      <c r="J379" s="70"/>
      <c r="K379" s="1491"/>
      <c r="L379" s="1260"/>
      <c r="M379" s="1485">
        <f t="shared" si="197"/>
        <v>0</v>
      </c>
      <c r="N379" s="1260"/>
      <c r="O379" s="1491"/>
      <c r="P379" s="1260"/>
      <c r="Q379" s="1485">
        <f t="shared" si="198"/>
        <v>0</v>
      </c>
      <c r="R379" s="1260"/>
      <c r="S379" s="1491"/>
      <c r="T379" s="1260"/>
      <c r="U379" s="1485">
        <f t="shared" si="199"/>
        <v>0</v>
      </c>
      <c r="V379" s="1260"/>
      <c r="W379" s="1491"/>
      <c r="X379" s="1260"/>
    </row>
    <row r="380" spans="1:24" ht="13.5" hidden="1" customHeight="1" x14ac:dyDescent="0.2">
      <c r="A380" s="3973" t="s">
        <v>1276</v>
      </c>
      <c r="B380" s="3973"/>
      <c r="C380" s="3973"/>
      <c r="D380" s="3973"/>
      <c r="E380" s="3973"/>
      <c r="F380" s="3973"/>
      <c r="G380" s="3973"/>
      <c r="H380" s="3973"/>
      <c r="I380" s="1485" t="e">
        <f t="shared" si="196"/>
        <v>#REF!</v>
      </c>
      <c r="J380" s="70" t="e">
        <f>SUM(#REF!)</f>
        <v>#REF!</v>
      </c>
      <c r="K380" s="70" t="e">
        <f>SUM(#REF!)</f>
        <v>#REF!</v>
      </c>
      <c r="L380" s="70" t="e">
        <f>SUM(#REF!)</f>
        <v>#REF!</v>
      </c>
      <c r="M380" s="1485" t="e">
        <f t="shared" si="197"/>
        <v>#REF!</v>
      </c>
      <c r="N380" s="70" t="e">
        <f>SUM(#REF!)</f>
        <v>#REF!</v>
      </c>
      <c r="O380" s="70" t="e">
        <f>SUM(#REF!)</f>
        <v>#REF!</v>
      </c>
      <c r="P380" s="70" t="e">
        <f>SUM(#REF!)</f>
        <v>#REF!</v>
      </c>
      <c r="Q380" s="1485" t="e">
        <f t="shared" si="198"/>
        <v>#REF!</v>
      </c>
      <c r="R380" s="70" t="e">
        <f>SUM(#REF!)</f>
        <v>#REF!</v>
      </c>
      <c r="S380" s="70" t="e">
        <f>SUM(#REF!)</f>
        <v>#REF!</v>
      </c>
      <c r="T380" s="70" t="e">
        <f>SUM(#REF!)</f>
        <v>#REF!</v>
      </c>
      <c r="U380" s="1485" t="e">
        <f t="shared" si="199"/>
        <v>#REF!</v>
      </c>
      <c r="V380" s="70" t="e">
        <f>SUM(#REF!)</f>
        <v>#REF!</v>
      </c>
      <c r="W380" s="70" t="e">
        <f>SUM(#REF!)</f>
        <v>#REF!</v>
      </c>
      <c r="X380" s="70" t="e">
        <f>SUM(#REF!)</f>
        <v>#REF!</v>
      </c>
    </row>
    <row r="381" spans="1:24" ht="13.5" hidden="1" customHeight="1" x14ac:dyDescent="0.2">
      <c r="A381" s="3973" t="s">
        <v>1277</v>
      </c>
      <c r="B381" s="3973"/>
      <c r="C381" s="3973"/>
      <c r="D381" s="3973"/>
      <c r="E381" s="3973"/>
      <c r="F381" s="3973"/>
      <c r="G381" s="3973"/>
      <c r="H381" s="3973"/>
      <c r="I381" s="1494" t="e">
        <f t="shared" si="196"/>
        <v>#REF!</v>
      </c>
      <c r="J381" s="1495" t="e">
        <f>SUM(J379+J380)</f>
        <v>#REF!</v>
      </c>
      <c r="K381" s="1495" t="e">
        <f>SUM(K379+K380)</f>
        <v>#REF!</v>
      </c>
      <c r="L381" s="1495" t="e">
        <f>SUM(L379+L380)</f>
        <v>#REF!</v>
      </c>
      <c r="M381" s="1485" t="e">
        <f t="shared" si="197"/>
        <v>#REF!</v>
      </c>
      <c r="N381" s="1495" t="e">
        <f>SUM(N379+N380)</f>
        <v>#REF!</v>
      </c>
      <c r="O381" s="1495" t="e">
        <f>SUM(O379+O380)</f>
        <v>#REF!</v>
      </c>
      <c r="P381" s="1495" t="e">
        <f>SUM(P379+P380)</f>
        <v>#REF!</v>
      </c>
      <c r="Q381" s="1485" t="e">
        <f t="shared" si="198"/>
        <v>#REF!</v>
      </c>
      <c r="R381" s="1495" t="e">
        <f>SUM(R379+R380)</f>
        <v>#REF!</v>
      </c>
      <c r="S381" s="1495" t="e">
        <f>SUM(S379+S380)</f>
        <v>#REF!</v>
      </c>
      <c r="T381" s="1495" t="e">
        <f>SUM(T379+T380)</f>
        <v>#REF!</v>
      </c>
      <c r="U381" s="1494" t="e">
        <f t="shared" si="199"/>
        <v>#REF!</v>
      </c>
      <c r="V381" s="1495" t="e">
        <f>SUM(V379+V380)</f>
        <v>#REF!</v>
      </c>
      <c r="W381" s="1495" t="e">
        <f>SUM(W379+W380)</f>
        <v>#REF!</v>
      </c>
      <c r="X381" s="1495" t="e">
        <f>SUM(X379+X380)</f>
        <v>#REF!</v>
      </c>
    </row>
    <row r="382" spans="1:24" ht="13.5" hidden="1" customHeight="1" x14ac:dyDescent="0.2">
      <c r="A382" s="3976" t="s">
        <v>1278</v>
      </c>
      <c r="B382" s="3976"/>
      <c r="C382" s="3976"/>
      <c r="D382" s="3976"/>
      <c r="E382" s="3976"/>
      <c r="F382" s="3976"/>
      <c r="G382" s="3976"/>
      <c r="H382" s="3976"/>
      <c r="I382" s="1485" t="e">
        <f t="shared" si="196"/>
        <v>#REF!</v>
      </c>
      <c r="J382" s="1260" t="e">
        <f>SUM(#REF!+#REF!)</f>
        <v>#REF!</v>
      </c>
      <c r="K382" s="1260" t="e">
        <f>SUM(#REF!+#REF!)</f>
        <v>#REF!</v>
      </c>
      <c r="L382" s="1260" t="e">
        <f>SUM(#REF!+#REF!)</f>
        <v>#REF!</v>
      </c>
      <c r="M382" s="1485" t="e">
        <f t="shared" si="197"/>
        <v>#REF!</v>
      </c>
      <c r="N382" s="1260" t="e">
        <f>SUM(#REF!+#REF!)</f>
        <v>#REF!</v>
      </c>
      <c r="O382" s="1260" t="e">
        <f>SUM(#REF!+#REF!)</f>
        <v>#REF!</v>
      </c>
      <c r="P382" s="1260" t="e">
        <f>SUM(#REF!+#REF!)</f>
        <v>#REF!</v>
      </c>
      <c r="Q382" s="1485" t="e">
        <f t="shared" si="198"/>
        <v>#REF!</v>
      </c>
      <c r="R382" s="1260" t="e">
        <f>SUM(#REF!+#REF!)</f>
        <v>#REF!</v>
      </c>
      <c r="S382" s="1260" t="e">
        <f>SUM(#REF!+#REF!)</f>
        <v>#REF!</v>
      </c>
      <c r="T382" s="1260" t="e">
        <f>SUM(#REF!+#REF!)</f>
        <v>#REF!</v>
      </c>
      <c r="U382" s="1485" t="e">
        <f t="shared" si="199"/>
        <v>#REF!</v>
      </c>
      <c r="V382" s="1260" t="e">
        <f>SUM(#REF!+#REF!)</f>
        <v>#REF!</v>
      </c>
      <c r="W382" s="1260" t="e">
        <f>SUM(#REF!+#REF!)</f>
        <v>#REF!</v>
      </c>
      <c r="X382" s="1260" t="e">
        <f>SUM(#REF!+#REF!)</f>
        <v>#REF!</v>
      </c>
    </row>
    <row r="383" spans="1:24" ht="13.5" hidden="1" customHeight="1" x14ac:dyDescent="0.2">
      <c r="A383" s="3976" t="s">
        <v>1279</v>
      </c>
      <c r="B383" s="3976"/>
      <c r="C383" s="3976"/>
      <c r="D383" s="3976"/>
      <c r="E383" s="3976"/>
      <c r="F383" s="3976"/>
      <c r="G383" s="3976"/>
      <c r="H383" s="3976"/>
      <c r="I383" s="1485" t="e">
        <f t="shared" si="196"/>
        <v>#REF!</v>
      </c>
      <c r="J383" s="1491" t="e">
        <f>SUM(#REF!+#REF!)</f>
        <v>#REF!</v>
      </c>
      <c r="K383" s="1491" t="e">
        <f>SUM(#REF!+#REF!)</f>
        <v>#REF!</v>
      </c>
      <c r="L383" s="1491" t="e">
        <f>SUM(#REF!+#REF!)</f>
        <v>#REF!</v>
      </c>
      <c r="M383" s="1485" t="e">
        <f t="shared" si="197"/>
        <v>#REF!</v>
      </c>
      <c r="N383" s="1491" t="e">
        <f>SUM(#REF!+#REF!)</f>
        <v>#REF!</v>
      </c>
      <c r="O383" s="1491" t="e">
        <f>SUM(#REF!+#REF!)</f>
        <v>#REF!</v>
      </c>
      <c r="P383" s="1491" t="e">
        <f>SUM(#REF!+#REF!)</f>
        <v>#REF!</v>
      </c>
      <c r="Q383" s="1485" t="e">
        <f t="shared" si="198"/>
        <v>#REF!</v>
      </c>
      <c r="R383" s="1491" t="e">
        <f>SUM(#REF!+#REF!)</f>
        <v>#REF!</v>
      </c>
      <c r="S383" s="1491" t="e">
        <f>SUM(#REF!+#REF!)</f>
        <v>#REF!</v>
      </c>
      <c r="T383" s="1491" t="e">
        <f>SUM(#REF!+#REF!)</f>
        <v>#REF!</v>
      </c>
      <c r="U383" s="1485" t="e">
        <f t="shared" si="199"/>
        <v>#REF!</v>
      </c>
      <c r="V383" s="1491" t="e">
        <f>SUM(#REF!+#REF!)</f>
        <v>#REF!</v>
      </c>
      <c r="W383" s="1491" t="e">
        <f>SUM(#REF!+#REF!)</f>
        <v>#REF!</v>
      </c>
      <c r="X383" s="1491" t="e">
        <f>SUM(#REF!+#REF!)</f>
        <v>#REF!</v>
      </c>
    </row>
    <row r="384" spans="1:24" ht="14.25" hidden="1" customHeight="1" x14ac:dyDescent="0.2">
      <c r="A384" s="3976" t="s">
        <v>1280</v>
      </c>
      <c r="B384" s="3976"/>
      <c r="C384" s="3976"/>
      <c r="D384" s="3976"/>
      <c r="E384" s="3976"/>
      <c r="F384" s="3976"/>
      <c r="G384" s="3976"/>
      <c r="H384" s="3976"/>
      <c r="I384" s="1485" t="e">
        <f t="shared" si="196"/>
        <v>#REF!</v>
      </c>
      <c r="J384" s="1491" t="e">
        <f>SUM(#REF!)</f>
        <v>#REF!</v>
      </c>
      <c r="K384" s="1491" t="e">
        <f>SUM(#REF!)</f>
        <v>#REF!</v>
      </c>
      <c r="L384" s="1491" t="e">
        <f>SUM(#REF!)</f>
        <v>#REF!</v>
      </c>
      <c r="M384" s="1485" t="e">
        <f t="shared" si="197"/>
        <v>#REF!</v>
      </c>
      <c r="N384" s="1491" t="e">
        <f>SUM(#REF!)</f>
        <v>#REF!</v>
      </c>
      <c r="O384" s="1491" t="e">
        <f>SUM(#REF!)</f>
        <v>#REF!</v>
      </c>
      <c r="P384" s="1491" t="e">
        <f>SUM(#REF!)</f>
        <v>#REF!</v>
      </c>
      <c r="Q384" s="1485" t="e">
        <f t="shared" si="198"/>
        <v>#REF!</v>
      </c>
      <c r="R384" s="1491" t="e">
        <f>SUM(#REF!)</f>
        <v>#REF!</v>
      </c>
      <c r="S384" s="1491" t="e">
        <f>SUM(#REF!)</f>
        <v>#REF!</v>
      </c>
      <c r="T384" s="1491" t="e">
        <f>SUM(#REF!)</f>
        <v>#REF!</v>
      </c>
      <c r="U384" s="1485" t="e">
        <f t="shared" si="199"/>
        <v>#REF!</v>
      </c>
      <c r="V384" s="1491" t="e">
        <f>SUM(#REF!)</f>
        <v>#REF!</v>
      </c>
      <c r="W384" s="1491" t="e">
        <f>SUM(#REF!)</f>
        <v>#REF!</v>
      </c>
      <c r="X384" s="1491" t="e">
        <f>SUM(#REF!)</f>
        <v>#REF!</v>
      </c>
    </row>
    <row r="385" spans="1:24" ht="14.25" hidden="1" customHeight="1" x14ac:dyDescent="0.2">
      <c r="A385" s="3976" t="s">
        <v>1281</v>
      </c>
      <c r="B385" s="3976"/>
      <c r="C385" s="3976"/>
      <c r="D385" s="3976"/>
      <c r="E385" s="3976"/>
      <c r="F385" s="3976"/>
      <c r="G385" s="3976"/>
      <c r="H385" s="3976"/>
      <c r="I385" s="1485" t="e">
        <f t="shared" si="196"/>
        <v>#REF!</v>
      </c>
      <c r="J385" s="1496" t="e">
        <f>SUM(J382+J383+J384)</f>
        <v>#REF!</v>
      </c>
      <c r="K385" s="1496" t="e">
        <f>SUM(K382+K383+K384)</f>
        <v>#REF!</v>
      </c>
      <c r="L385" s="1496" t="e">
        <f>SUM(L382+L383+L384)</f>
        <v>#REF!</v>
      </c>
      <c r="M385" s="1485" t="e">
        <f t="shared" si="197"/>
        <v>#REF!</v>
      </c>
      <c r="N385" s="1496" t="e">
        <f>SUM(N382+N383+N384)</f>
        <v>#REF!</v>
      </c>
      <c r="O385" s="1496" t="e">
        <f>SUM(O382+O383+O384)</f>
        <v>#REF!</v>
      </c>
      <c r="P385" s="1496" t="e">
        <f>SUM(P382+P383+P384)</f>
        <v>#REF!</v>
      </c>
      <c r="Q385" s="1485" t="e">
        <f t="shared" si="198"/>
        <v>#REF!</v>
      </c>
      <c r="R385" s="1496" t="e">
        <f>SUM(R382+R383+R384)</f>
        <v>#REF!</v>
      </c>
      <c r="S385" s="1496" t="e">
        <f>SUM(S382+S383+S384)</f>
        <v>#REF!</v>
      </c>
      <c r="T385" s="1496" t="e">
        <f>SUM(T382+T383+T384)</f>
        <v>#REF!</v>
      </c>
      <c r="U385" s="1497" t="e">
        <f t="shared" si="199"/>
        <v>#REF!</v>
      </c>
      <c r="V385" s="1496" t="e">
        <f>SUM(V382+V383+V384)</f>
        <v>#REF!</v>
      </c>
      <c r="W385" s="1496" t="e">
        <f>SUM(W382+W383+W384)</f>
        <v>#REF!</v>
      </c>
      <c r="X385" s="1496" t="e">
        <f>SUM(X382+X383+X384)</f>
        <v>#REF!</v>
      </c>
    </row>
    <row r="386" spans="1:24" ht="13.5" hidden="1" customHeight="1" x14ac:dyDescent="0.2">
      <c r="A386" s="3971" t="s">
        <v>1282</v>
      </c>
      <c r="B386" s="3971"/>
      <c r="C386" s="3971"/>
      <c r="D386" s="3971"/>
      <c r="E386" s="3971"/>
      <c r="F386" s="3971"/>
      <c r="G386" s="3971"/>
      <c r="H386" s="3971"/>
      <c r="I386" s="1485" t="e">
        <f t="shared" si="196"/>
        <v>#REF!</v>
      </c>
      <c r="J386" s="1491" t="e">
        <f>SUM(#REF!)</f>
        <v>#REF!</v>
      </c>
      <c r="K386" s="1491" t="e">
        <f>SUM(#REF!)</f>
        <v>#REF!</v>
      </c>
      <c r="L386" s="1491" t="e">
        <f>SUM(#REF!)</f>
        <v>#REF!</v>
      </c>
      <c r="M386" s="1485" t="e">
        <f t="shared" si="197"/>
        <v>#REF!</v>
      </c>
      <c r="N386" s="1491" t="e">
        <f>SUM(#REF!)</f>
        <v>#REF!</v>
      </c>
      <c r="O386" s="1491" t="e">
        <f>SUM(#REF!)</f>
        <v>#REF!</v>
      </c>
      <c r="P386" s="1491" t="e">
        <f>SUM(#REF!)</f>
        <v>#REF!</v>
      </c>
      <c r="Q386" s="1485" t="e">
        <f t="shared" si="198"/>
        <v>#REF!</v>
      </c>
      <c r="R386" s="1491" t="e">
        <f>SUM(#REF!)</f>
        <v>#REF!</v>
      </c>
      <c r="S386" s="1491" t="e">
        <f>SUM(#REF!)</f>
        <v>#REF!</v>
      </c>
      <c r="T386" s="1491" t="e">
        <f>SUM(#REF!)</f>
        <v>#REF!</v>
      </c>
      <c r="U386" s="1485" t="e">
        <f t="shared" si="199"/>
        <v>#REF!</v>
      </c>
      <c r="V386" s="1491" t="e">
        <f>SUM(#REF!)</f>
        <v>#REF!</v>
      </c>
      <c r="W386" s="1491" t="e">
        <f>SUM(#REF!)</f>
        <v>#REF!</v>
      </c>
      <c r="X386" s="1491" t="e">
        <f>SUM(#REF!)</f>
        <v>#REF!</v>
      </c>
    </row>
    <row r="387" spans="1:24" ht="13.5" hidden="1" customHeight="1" x14ac:dyDescent="0.2">
      <c r="A387" s="3971" t="s">
        <v>1283</v>
      </c>
      <c r="B387" s="3971"/>
      <c r="C387" s="3971"/>
      <c r="D387" s="3971"/>
      <c r="E387" s="3971"/>
      <c r="F387" s="3971"/>
      <c r="G387" s="3971"/>
      <c r="H387" s="3971"/>
      <c r="I387" s="1485" t="e">
        <f t="shared" si="196"/>
        <v>#REF!</v>
      </c>
      <c r="J387" s="1487" t="e">
        <f>SUM(J386)</f>
        <v>#REF!</v>
      </c>
      <c r="K387" s="1487" t="e">
        <f t="shared" ref="K387:X387" si="200">SUM(K386)</f>
        <v>#REF!</v>
      </c>
      <c r="L387" s="1487" t="e">
        <f t="shared" si="200"/>
        <v>#REF!</v>
      </c>
      <c r="M387" s="1485" t="e">
        <f t="shared" si="197"/>
        <v>#REF!</v>
      </c>
      <c r="N387" s="1487" t="e">
        <f t="shared" si="200"/>
        <v>#REF!</v>
      </c>
      <c r="O387" s="1487" t="e">
        <f t="shared" si="200"/>
        <v>#REF!</v>
      </c>
      <c r="P387" s="1487" t="e">
        <f t="shared" si="200"/>
        <v>#REF!</v>
      </c>
      <c r="Q387" s="1485" t="e">
        <f t="shared" si="198"/>
        <v>#REF!</v>
      </c>
      <c r="R387" s="1487" t="e">
        <f t="shared" si="200"/>
        <v>#REF!</v>
      </c>
      <c r="S387" s="1487" t="e">
        <f t="shared" si="200"/>
        <v>#REF!</v>
      </c>
      <c r="T387" s="1487" t="e">
        <f t="shared" si="200"/>
        <v>#REF!</v>
      </c>
      <c r="U387" s="1486" t="e">
        <f t="shared" si="199"/>
        <v>#REF!</v>
      </c>
      <c r="V387" s="1487" t="e">
        <f t="shared" si="200"/>
        <v>#REF!</v>
      </c>
      <c r="W387" s="1487" t="e">
        <f t="shared" si="200"/>
        <v>#REF!</v>
      </c>
      <c r="X387" s="1487" t="e">
        <f t="shared" si="200"/>
        <v>#REF!</v>
      </c>
    </row>
    <row r="388" spans="1:24" ht="13.5" hidden="1" customHeight="1" x14ac:dyDescent="0.2">
      <c r="A388" s="3976" t="s">
        <v>1284</v>
      </c>
      <c r="B388" s="3976"/>
      <c r="C388" s="3976"/>
      <c r="D388" s="3976"/>
      <c r="E388" s="3976"/>
      <c r="F388" s="3976"/>
      <c r="G388" s="3976"/>
      <c r="H388" s="3976"/>
      <c r="I388" s="1485">
        <f t="shared" si="196"/>
        <v>211.9</v>
      </c>
      <c r="J388" s="1491">
        <f>SUM(J164+J165+J193)</f>
        <v>211.9</v>
      </c>
      <c r="K388" s="1491">
        <f>SUM(K164+K165+K193)</f>
        <v>171.5</v>
      </c>
      <c r="L388" s="1491">
        <f>SUM(L164+L165+L193)</f>
        <v>0</v>
      </c>
      <c r="M388" s="1485">
        <f t="shared" si="197"/>
        <v>218.3</v>
      </c>
      <c r="N388" s="1260">
        <f>SUM(N164+N165+N193)</f>
        <v>218.3</v>
      </c>
      <c r="O388" s="1260">
        <f>SUM(O164+O165+O193)</f>
        <v>191</v>
      </c>
      <c r="P388" s="1260">
        <f>SUM(P164+P165+P193)</f>
        <v>0</v>
      </c>
      <c r="Q388" s="1485">
        <f t="shared" si="198"/>
        <v>218.3</v>
      </c>
      <c r="R388" s="1260">
        <f>SUM(R164+R165+R193)</f>
        <v>218.3</v>
      </c>
      <c r="S388" s="1260">
        <f>SUM(S164+S165+S193)</f>
        <v>191</v>
      </c>
      <c r="T388" s="1260">
        <f>SUM(T164+T165+T193)</f>
        <v>0</v>
      </c>
      <c r="U388" s="1485">
        <f t="shared" si="199"/>
        <v>218.3</v>
      </c>
      <c r="V388" s="1260">
        <f>SUM(V164+V165+V193)</f>
        <v>218.3</v>
      </c>
      <c r="W388" s="1260">
        <f>SUM(W164+W165+W193)</f>
        <v>191</v>
      </c>
      <c r="X388" s="1260">
        <f>SUM(X164+X165+X193)</f>
        <v>0</v>
      </c>
    </row>
    <row r="389" spans="1:24" ht="13.5" hidden="1" customHeight="1" x14ac:dyDescent="0.2">
      <c r="A389" s="3976" t="s">
        <v>1285</v>
      </c>
      <c r="B389" s="3976"/>
      <c r="C389" s="3976"/>
      <c r="D389" s="3976"/>
      <c r="E389" s="3976"/>
      <c r="F389" s="3976"/>
      <c r="G389" s="3976"/>
      <c r="H389" s="3976"/>
      <c r="I389" s="1485">
        <f t="shared" si="196"/>
        <v>211.9</v>
      </c>
      <c r="J389" s="1496">
        <f>SUM(J388)</f>
        <v>211.9</v>
      </c>
      <c r="K389" s="1496">
        <f t="shared" ref="K389:X389" si="201">SUM(K388)</f>
        <v>171.5</v>
      </c>
      <c r="L389" s="1496">
        <f t="shared" si="201"/>
        <v>0</v>
      </c>
      <c r="M389" s="1485">
        <f t="shared" si="197"/>
        <v>218.3</v>
      </c>
      <c r="N389" s="1496">
        <f t="shared" si="201"/>
        <v>218.3</v>
      </c>
      <c r="O389" s="1496">
        <f t="shared" si="201"/>
        <v>191</v>
      </c>
      <c r="P389" s="1496">
        <f t="shared" si="201"/>
        <v>0</v>
      </c>
      <c r="Q389" s="1485">
        <f t="shared" si="198"/>
        <v>218.3</v>
      </c>
      <c r="R389" s="1496">
        <f t="shared" si="201"/>
        <v>218.3</v>
      </c>
      <c r="S389" s="1496">
        <f t="shared" si="201"/>
        <v>191</v>
      </c>
      <c r="T389" s="1496">
        <f t="shared" si="201"/>
        <v>0</v>
      </c>
      <c r="U389" s="1485">
        <f t="shared" si="199"/>
        <v>218.3</v>
      </c>
      <c r="V389" s="1496">
        <f t="shared" si="201"/>
        <v>218.3</v>
      </c>
      <c r="W389" s="1496">
        <f t="shared" si="201"/>
        <v>191</v>
      </c>
      <c r="X389" s="1496">
        <f t="shared" si="201"/>
        <v>0</v>
      </c>
    </row>
    <row r="390" spans="1:24" ht="14.25" hidden="1" customHeight="1" x14ac:dyDescent="0.2">
      <c r="A390" s="3977" t="s">
        <v>1286</v>
      </c>
      <c r="B390" s="3977"/>
      <c r="C390" s="3977"/>
      <c r="D390" s="3977"/>
      <c r="E390" s="3977"/>
      <c r="F390" s="3977"/>
      <c r="G390" s="3977"/>
      <c r="H390" s="3977"/>
      <c r="I390" s="1485" t="e">
        <f t="shared" si="196"/>
        <v>#REF!</v>
      </c>
      <c r="J390" s="1491" t="e">
        <f>SUM(J25+#REF!+J42+#REF!+J51+J54+J62)</f>
        <v>#REF!</v>
      </c>
      <c r="K390" s="1491" t="e">
        <f>SUM(K25+#REF!+K42+#REF!+K51+K54+K62)</f>
        <v>#REF!</v>
      </c>
      <c r="L390" s="1491" t="e">
        <f>SUM(L25+#REF!+L42+#REF!+L51+L54+L62)</f>
        <v>#REF!</v>
      </c>
      <c r="M390" s="1485" t="e">
        <f>SUM(M25+#REF!+M42+#REF!+M51+M54+M62)</f>
        <v>#REF!</v>
      </c>
      <c r="N390" s="1260" t="e">
        <f>SUM(N25+#REF!+N42+#REF!+N51+N54+N62)</f>
        <v>#REF!</v>
      </c>
      <c r="O390" s="1491" t="e">
        <f>SUM(O25+#REF!+O42+#REF!+O51+O54+O62)</f>
        <v>#REF!</v>
      </c>
      <c r="P390" s="1491" t="e">
        <f>SUM(P25+#REF!+P42+#REF!+P51+P54+P62)</f>
        <v>#REF!</v>
      </c>
      <c r="Q390" s="1485" t="e">
        <f>SUM(Q25+#REF!+Q42+#REF!+Q51+Q54+Q62)</f>
        <v>#REF!</v>
      </c>
      <c r="R390" s="1491" t="e">
        <f>SUM(R25+#REF!+R42+#REF!+R51+R54+R62)</f>
        <v>#REF!</v>
      </c>
      <c r="S390" s="1491" t="e">
        <f>SUM(S25+#REF!+S42+#REF!+S51+S54+S62)</f>
        <v>#REF!</v>
      </c>
      <c r="T390" s="1491" t="e">
        <f>SUM(T25+#REF!+T42+#REF!+T51+T54+T62)</f>
        <v>#REF!</v>
      </c>
      <c r="U390" s="1485" t="e">
        <f>SUM(U25+#REF!+U42+#REF!+U51+U54+U62)</f>
        <v>#REF!</v>
      </c>
      <c r="V390" s="1491" t="e">
        <f>SUM(V25+#REF!+V42+#REF!+V51+V54+V62)</f>
        <v>#REF!</v>
      </c>
      <c r="W390" s="1491" t="e">
        <f>SUM(W25+#REF!+W42+#REF!+W51+W54+W62)</f>
        <v>#REF!</v>
      </c>
      <c r="X390" s="1491" t="e">
        <f>SUM(X25+#REF!+X42+#REF!+X51+X54+X62)</f>
        <v>#REF!</v>
      </c>
    </row>
    <row r="391" spans="1:24" ht="13.5" hidden="1" customHeight="1" x14ac:dyDescent="0.2">
      <c r="A391" s="3977" t="s">
        <v>1287</v>
      </c>
      <c r="B391" s="3977"/>
      <c r="C391" s="3977"/>
      <c r="D391" s="3977"/>
      <c r="E391" s="3977"/>
      <c r="F391" s="3977"/>
      <c r="G391" s="3977"/>
      <c r="H391" s="3977"/>
      <c r="I391" s="1485" t="e">
        <f t="shared" si="196"/>
        <v>#REF!</v>
      </c>
      <c r="J391" s="1491" t="e">
        <f>SUM(#REF!)</f>
        <v>#REF!</v>
      </c>
      <c r="K391" s="1491" t="e">
        <f>SUM(#REF!)</f>
        <v>#REF!</v>
      </c>
      <c r="L391" s="1491" t="e">
        <f>SUM(#REF!)</f>
        <v>#REF!</v>
      </c>
      <c r="M391" s="1485" t="e">
        <f t="shared" si="197"/>
        <v>#REF!</v>
      </c>
      <c r="N391" s="1260" t="e">
        <f>SUM(#REF!)</f>
        <v>#REF!</v>
      </c>
      <c r="O391" s="1260" t="e">
        <f>SUM(#REF!)</f>
        <v>#REF!</v>
      </c>
      <c r="P391" s="1260" t="e">
        <f>SUM(#REF!)</f>
        <v>#REF!</v>
      </c>
      <c r="Q391" s="1485" t="e">
        <f t="shared" si="198"/>
        <v>#REF!</v>
      </c>
      <c r="R391" s="1260" t="e">
        <f>SUM(#REF!)</f>
        <v>#REF!</v>
      </c>
      <c r="S391" s="1260" t="e">
        <f>SUM(#REF!)</f>
        <v>#REF!</v>
      </c>
      <c r="T391" s="1260" t="e">
        <f>SUM(#REF!)</f>
        <v>#REF!</v>
      </c>
      <c r="U391" s="1485" t="e">
        <f t="shared" si="199"/>
        <v>#REF!</v>
      </c>
      <c r="V391" s="1260" t="e">
        <f>SUM(#REF!)</f>
        <v>#REF!</v>
      </c>
      <c r="W391" s="1260" t="e">
        <f>SUM(#REF!)</f>
        <v>#REF!</v>
      </c>
      <c r="X391" s="1260" t="e">
        <f>SUM(#REF!)</f>
        <v>#REF!</v>
      </c>
    </row>
    <row r="392" spans="1:24" ht="14.25" hidden="1" customHeight="1" x14ac:dyDescent="0.2">
      <c r="A392" s="3977" t="s">
        <v>1288</v>
      </c>
      <c r="B392" s="3977"/>
      <c r="C392" s="3977"/>
      <c r="D392" s="3977"/>
      <c r="E392" s="3977"/>
      <c r="F392" s="3977"/>
      <c r="G392" s="3977"/>
      <c r="H392" s="3977"/>
      <c r="I392" s="1485" t="e">
        <f t="shared" si="196"/>
        <v>#REF!</v>
      </c>
      <c r="J392" s="1498" t="e">
        <f>SUM(J390+J391)</f>
        <v>#REF!</v>
      </c>
      <c r="K392" s="1498" t="e">
        <f>SUM(K390+K391)</f>
        <v>#REF!</v>
      </c>
      <c r="L392" s="1498" t="e">
        <f>SUM(L390+L391)</f>
        <v>#REF!</v>
      </c>
      <c r="M392" s="1485" t="e">
        <f t="shared" si="197"/>
        <v>#REF!</v>
      </c>
      <c r="N392" s="1498" t="e">
        <f>SUM(N390+N391)</f>
        <v>#REF!</v>
      </c>
      <c r="O392" s="1498" t="e">
        <f>SUM(O390+O391)</f>
        <v>#REF!</v>
      </c>
      <c r="P392" s="1498" t="e">
        <f>SUM(P390+P391)</f>
        <v>#REF!</v>
      </c>
      <c r="Q392" s="1485" t="e">
        <f t="shared" si="198"/>
        <v>#REF!</v>
      </c>
      <c r="R392" s="1498" t="e">
        <f>SUM(R390+R391)</f>
        <v>#REF!</v>
      </c>
      <c r="S392" s="1498" t="e">
        <f>SUM(S390+S391)</f>
        <v>#REF!</v>
      </c>
      <c r="T392" s="1498" t="e">
        <f>SUM(T390+T391)</f>
        <v>#REF!</v>
      </c>
      <c r="U392" s="1485" t="e">
        <f t="shared" si="199"/>
        <v>#REF!</v>
      </c>
      <c r="V392" s="1498" t="e">
        <f>SUM(V390+V391)</f>
        <v>#REF!</v>
      </c>
      <c r="W392" s="1498" t="e">
        <f>SUM(W390+W391)</f>
        <v>#REF!</v>
      </c>
      <c r="X392" s="1498" t="e">
        <f>SUM(X390+X391)</f>
        <v>#REF!</v>
      </c>
    </row>
    <row r="393" spans="1:24" ht="14.25" hidden="1" customHeight="1" x14ac:dyDescent="0.2">
      <c r="A393" s="3974" t="s">
        <v>1289</v>
      </c>
      <c r="B393" s="3974"/>
      <c r="C393" s="3974"/>
      <c r="D393" s="3974"/>
      <c r="E393" s="3974"/>
      <c r="F393" s="3974"/>
      <c r="G393" s="3974"/>
      <c r="H393" s="3974"/>
      <c r="I393" s="1485" t="e">
        <f t="shared" si="196"/>
        <v>#REF!</v>
      </c>
      <c r="J393" s="1491" t="e">
        <f>SUM(#REF!)</f>
        <v>#REF!</v>
      </c>
      <c r="K393" s="1491" t="e">
        <f>SUM(#REF!)</f>
        <v>#REF!</v>
      </c>
      <c r="L393" s="1491" t="e">
        <f>SUM(#REF!)</f>
        <v>#REF!</v>
      </c>
      <c r="M393" s="1485" t="e">
        <f t="shared" si="197"/>
        <v>#REF!</v>
      </c>
      <c r="N393" s="1491" t="e">
        <f>SUM(#REF!)</f>
        <v>#REF!</v>
      </c>
      <c r="O393" s="1491" t="e">
        <f>SUM(#REF!)</f>
        <v>#REF!</v>
      </c>
      <c r="P393" s="1491" t="e">
        <f>SUM(#REF!)</f>
        <v>#REF!</v>
      </c>
      <c r="Q393" s="1485" t="e">
        <f t="shared" si="198"/>
        <v>#REF!</v>
      </c>
      <c r="R393" s="1491" t="e">
        <f>SUM(#REF!)</f>
        <v>#REF!</v>
      </c>
      <c r="S393" s="1491" t="e">
        <f>SUM(#REF!)</f>
        <v>#REF!</v>
      </c>
      <c r="T393" s="1491" t="e">
        <f>SUM(#REF!)</f>
        <v>#REF!</v>
      </c>
      <c r="U393" s="1485" t="e">
        <f t="shared" si="199"/>
        <v>#REF!</v>
      </c>
      <c r="V393" s="1491" t="e">
        <f>SUM(#REF!)</f>
        <v>#REF!</v>
      </c>
      <c r="W393" s="1491" t="e">
        <f>SUM(#REF!)</f>
        <v>#REF!</v>
      </c>
      <c r="X393" s="1491" t="e">
        <f>SUM(#REF!)</f>
        <v>#REF!</v>
      </c>
    </row>
    <row r="394" spans="1:24" ht="13.5" hidden="1" customHeight="1" x14ac:dyDescent="0.2">
      <c r="A394" s="3974" t="s">
        <v>1290</v>
      </c>
      <c r="B394" s="3974"/>
      <c r="C394" s="3974"/>
      <c r="D394" s="3974"/>
      <c r="E394" s="3974"/>
      <c r="F394" s="3974"/>
      <c r="G394" s="3974"/>
      <c r="H394" s="3974"/>
      <c r="I394" s="1485" t="e">
        <f t="shared" si="196"/>
        <v>#REF!</v>
      </c>
      <c r="J394" s="1491" t="e">
        <f>SUM(#REF!)</f>
        <v>#REF!</v>
      </c>
      <c r="K394" s="1491" t="e">
        <f>SUM(#REF!)</f>
        <v>#REF!</v>
      </c>
      <c r="L394" s="1491" t="e">
        <f>SUM(#REF!)</f>
        <v>#REF!</v>
      </c>
      <c r="M394" s="1485" t="e">
        <f t="shared" si="197"/>
        <v>#REF!</v>
      </c>
      <c r="N394" s="1491" t="e">
        <f>SUM(#REF!)</f>
        <v>#REF!</v>
      </c>
      <c r="O394" s="1491" t="e">
        <f>SUM(#REF!)</f>
        <v>#REF!</v>
      </c>
      <c r="P394" s="1491" t="e">
        <f>SUM(#REF!)</f>
        <v>#REF!</v>
      </c>
      <c r="Q394" s="1485" t="e">
        <f t="shared" si="198"/>
        <v>#REF!</v>
      </c>
      <c r="R394" s="1491" t="e">
        <f>SUM(#REF!)</f>
        <v>#REF!</v>
      </c>
      <c r="S394" s="1491" t="e">
        <f>SUM(#REF!)</f>
        <v>#REF!</v>
      </c>
      <c r="T394" s="1491" t="e">
        <f>SUM(#REF!)</f>
        <v>#REF!</v>
      </c>
      <c r="U394" s="1485" t="e">
        <f t="shared" si="199"/>
        <v>#REF!</v>
      </c>
      <c r="V394" s="1491" t="e">
        <f>SUM(#REF!)</f>
        <v>#REF!</v>
      </c>
      <c r="W394" s="1491" t="e">
        <f>SUM(#REF!)</f>
        <v>#REF!</v>
      </c>
      <c r="X394" s="1491" t="e">
        <f>SUM(#REF!)</f>
        <v>#REF!</v>
      </c>
    </row>
    <row r="395" spans="1:24" ht="13.5" hidden="1" customHeight="1" x14ac:dyDescent="0.2">
      <c r="A395" s="3974" t="s">
        <v>1291</v>
      </c>
      <c r="B395" s="3974"/>
      <c r="C395" s="3974"/>
      <c r="D395" s="3974"/>
      <c r="E395" s="3974"/>
      <c r="F395" s="3974"/>
      <c r="G395" s="3974"/>
      <c r="H395" s="3974"/>
      <c r="I395" s="1485" t="e">
        <f t="shared" si="196"/>
        <v>#REF!</v>
      </c>
      <c r="J395" s="1499" t="e">
        <f>SUM(J393+J394)</f>
        <v>#REF!</v>
      </c>
      <c r="K395" s="1499" t="e">
        <f>SUM(K393+K394)</f>
        <v>#REF!</v>
      </c>
      <c r="L395" s="1499" t="e">
        <f>SUM(L393+L394)</f>
        <v>#REF!</v>
      </c>
      <c r="M395" s="1485" t="e">
        <f t="shared" si="197"/>
        <v>#REF!</v>
      </c>
      <c r="N395" s="1499" t="e">
        <f>SUM(N393+N394)</f>
        <v>#REF!</v>
      </c>
      <c r="O395" s="1499" t="e">
        <f>SUM(O393+O394)</f>
        <v>#REF!</v>
      </c>
      <c r="P395" s="1499" t="e">
        <f>SUM(P393+P394)</f>
        <v>#REF!</v>
      </c>
      <c r="Q395" s="1485" t="e">
        <f t="shared" si="198"/>
        <v>#REF!</v>
      </c>
      <c r="R395" s="1499" t="e">
        <f>SUM(R393+R394)</f>
        <v>#REF!</v>
      </c>
      <c r="S395" s="1499" t="e">
        <f>SUM(S393+S394)</f>
        <v>#REF!</v>
      </c>
      <c r="T395" s="1499" t="e">
        <f>SUM(T393+T394)</f>
        <v>#REF!</v>
      </c>
      <c r="U395" s="1485" t="e">
        <f t="shared" si="199"/>
        <v>#REF!</v>
      </c>
      <c r="V395" s="1499" t="e">
        <f>SUM(V393+V394)</f>
        <v>#REF!</v>
      </c>
      <c r="W395" s="1499" t="e">
        <f>SUM(W393+W394)</f>
        <v>#REF!</v>
      </c>
      <c r="X395" s="1499" t="e">
        <f>SUM(X393+X394)</f>
        <v>#REF!</v>
      </c>
    </row>
    <row r="396" spans="1:24" ht="13.5" hidden="1" customHeight="1" x14ac:dyDescent="0.2">
      <c r="A396" s="3977" t="s">
        <v>1292</v>
      </c>
      <c r="B396" s="3977"/>
      <c r="C396" s="3977"/>
      <c r="D396" s="3977"/>
      <c r="E396" s="3977"/>
      <c r="F396" s="3977"/>
      <c r="G396" s="3977"/>
      <c r="H396" s="3977"/>
      <c r="I396" s="1485">
        <f t="shared" si="196"/>
        <v>132.19999999999999</v>
      </c>
      <c r="J396" s="1498">
        <f>SUM(J22)</f>
        <v>132.19999999999999</v>
      </c>
      <c r="K396" s="1498">
        <f>SUM(K22)</f>
        <v>0</v>
      </c>
      <c r="L396" s="1498"/>
      <c r="M396" s="1485">
        <f t="shared" si="197"/>
        <v>0</v>
      </c>
      <c r="N396" s="1500"/>
      <c r="O396" s="1500"/>
      <c r="P396" s="1500"/>
      <c r="Q396" s="1485">
        <f t="shared" si="198"/>
        <v>0</v>
      </c>
      <c r="R396" s="1500"/>
      <c r="S396" s="1500"/>
      <c r="T396" s="1500"/>
      <c r="U396" s="1485">
        <f t="shared" si="199"/>
        <v>0</v>
      </c>
      <c r="V396" s="1500"/>
      <c r="W396" s="1500"/>
      <c r="X396" s="1500"/>
    </row>
    <row r="397" spans="1:24" ht="13.5" hidden="1" customHeight="1" x14ac:dyDescent="0.2">
      <c r="A397" s="3980" t="s">
        <v>1293</v>
      </c>
      <c r="B397" s="3981"/>
      <c r="C397" s="3981"/>
      <c r="D397" s="3981"/>
      <c r="E397" s="3981"/>
      <c r="F397" s="3981"/>
      <c r="G397" s="3981"/>
      <c r="H397" s="3982"/>
      <c r="I397" s="1485" t="e">
        <f t="shared" si="196"/>
        <v>#REF!</v>
      </c>
      <c r="J397" s="1498" t="e">
        <f>SUM(#REF!+#REF!+#REF!+#REF!+#REF!+#REF!+#REF!+#REF!+J59+#REF!+#REF!+#REF!)</f>
        <v>#REF!</v>
      </c>
      <c r="K397" s="1498" t="e">
        <f>SUM(#REF!+#REF!+#REF!+#REF!+#REF!+#REF!+#REF!+#REF!+K59+#REF!+#REF!+#REF!)</f>
        <v>#REF!</v>
      </c>
      <c r="L397" s="1498" t="e">
        <f>SUM(#REF!+#REF!+#REF!+#REF!+#REF!+#REF!+#REF!+#REF!+L59+#REF!+#REF!+#REF!)</f>
        <v>#REF!</v>
      </c>
      <c r="M397" s="1485" t="e">
        <f t="shared" si="197"/>
        <v>#REF!</v>
      </c>
      <c r="N397" s="1500" t="e">
        <f>SUM(#REF!+#REF!+#REF!+#REF!+#REF!+#REF!+#REF!+#REF!+N59+#REF!+#REF!+#REF!)</f>
        <v>#REF!</v>
      </c>
      <c r="O397" s="1500" t="e">
        <f>SUM(#REF!+#REF!+#REF!+#REF!+#REF!+#REF!+#REF!+#REF!+O59+#REF!+#REF!+#REF!)</f>
        <v>#REF!</v>
      </c>
      <c r="P397" s="1500" t="e">
        <f>SUM(#REF!+#REF!+#REF!+#REF!+#REF!+#REF!+#REF!+#REF!+P59+#REF!+#REF!+#REF!)</f>
        <v>#REF!</v>
      </c>
      <c r="Q397" s="1485" t="e">
        <f t="shared" si="198"/>
        <v>#REF!</v>
      </c>
      <c r="R397" s="1500" t="e">
        <f>SUM(#REF!+#REF!+#REF!+#REF!+#REF!+#REF!+#REF!+#REF!+R59+#REF!+#REF!+#REF!)</f>
        <v>#REF!</v>
      </c>
      <c r="S397" s="1500" t="e">
        <f>SUM(#REF!+#REF!+#REF!+#REF!+#REF!+#REF!+#REF!+#REF!+S59+#REF!+#REF!+#REF!)</f>
        <v>#REF!</v>
      </c>
      <c r="T397" s="1500" t="e">
        <f>SUM(#REF!+#REF!+#REF!+#REF!+#REF!+#REF!+#REF!+#REF!+T59+#REF!+#REF!+#REF!)</f>
        <v>#REF!</v>
      </c>
      <c r="U397" s="1485" t="e">
        <f t="shared" si="199"/>
        <v>#REF!</v>
      </c>
      <c r="V397" s="1500" t="e">
        <f>SUM(#REF!+#REF!+#REF!+#REF!+#REF!+#REF!+#REF!+#REF!+V59+#REF!+#REF!+#REF!)</f>
        <v>#REF!</v>
      </c>
      <c r="W397" s="1500" t="e">
        <f>SUM(#REF!+#REF!+#REF!+#REF!+#REF!+#REF!+#REF!+#REF!+W59+#REF!+#REF!+#REF!)</f>
        <v>#REF!</v>
      </c>
      <c r="X397" s="1500" t="e">
        <f>SUM(#REF!+#REF!+#REF!+#REF!+#REF!+#REF!+#REF!+#REF!+X59+#REF!+#REF!+#REF!)</f>
        <v>#REF!</v>
      </c>
    </row>
    <row r="398" spans="1:24" ht="13.5" hidden="1" customHeight="1" x14ac:dyDescent="0.2">
      <c r="A398" s="3983" t="s">
        <v>1294</v>
      </c>
      <c r="B398" s="3983"/>
      <c r="C398" s="3983"/>
      <c r="D398" s="3983"/>
      <c r="E398" s="3983"/>
      <c r="F398" s="3983"/>
      <c r="G398" s="3983"/>
      <c r="H398" s="3983"/>
      <c r="I398" s="1485">
        <f t="shared" si="196"/>
        <v>0</v>
      </c>
      <c r="J398" s="1501">
        <f>SUM(J233)</f>
        <v>0</v>
      </c>
      <c r="K398" s="1501">
        <f>SUM(K233)</f>
        <v>0</v>
      </c>
      <c r="L398" s="1501">
        <f>SUM(L233)</f>
        <v>0</v>
      </c>
      <c r="M398" s="1485">
        <f t="shared" si="197"/>
        <v>1372.9</v>
      </c>
      <c r="N398" s="1501">
        <f>SUM(N229)</f>
        <v>75</v>
      </c>
      <c r="O398" s="1501">
        <f>SUM(O233)</f>
        <v>0</v>
      </c>
      <c r="P398" s="1501">
        <f>SUM(P233)</f>
        <v>1297.9000000000001</v>
      </c>
      <c r="Q398" s="1485">
        <f t="shared" si="198"/>
        <v>0</v>
      </c>
      <c r="R398" s="1501">
        <f>SUM(R233)</f>
        <v>0</v>
      </c>
      <c r="S398" s="1501">
        <f>SUM(S233)</f>
        <v>0</v>
      </c>
      <c r="T398" s="1501">
        <f>SUM(T233)</f>
        <v>0</v>
      </c>
      <c r="U398" s="1485">
        <f t="shared" si="199"/>
        <v>0</v>
      </c>
      <c r="V398" s="1501">
        <f>SUM(V233)</f>
        <v>0</v>
      </c>
      <c r="W398" s="1501">
        <f>SUM(W233)</f>
        <v>0</v>
      </c>
      <c r="X398" s="1501">
        <f>SUM(X233)</f>
        <v>0</v>
      </c>
    </row>
    <row r="399" spans="1:24" ht="13.5" hidden="1" customHeight="1" x14ac:dyDescent="0.2">
      <c r="A399" s="3984" t="s">
        <v>1295</v>
      </c>
      <c r="B399" s="3985"/>
      <c r="C399" s="3985"/>
      <c r="D399" s="3985"/>
      <c r="E399" s="3985"/>
      <c r="F399" s="3985"/>
      <c r="G399" s="3985"/>
      <c r="H399" s="3986"/>
      <c r="I399" s="1485"/>
      <c r="J399" s="1501"/>
      <c r="K399" s="1501"/>
      <c r="L399" s="1501"/>
      <c r="M399" s="1485" t="e">
        <f t="shared" si="197"/>
        <v>#REF!</v>
      </c>
      <c r="N399" s="1501" t="e">
        <f>SUM(#REF!)</f>
        <v>#REF!</v>
      </c>
      <c r="O399" s="1501" t="e">
        <f>SUM(#REF!)</f>
        <v>#REF!</v>
      </c>
      <c r="P399" s="1501" t="e">
        <f>SUM(#REF!)</f>
        <v>#REF!</v>
      </c>
      <c r="Q399" s="1485"/>
      <c r="R399" s="1501"/>
      <c r="S399" s="1501"/>
      <c r="T399" s="1501"/>
      <c r="U399" s="1485"/>
      <c r="V399" s="1501"/>
      <c r="W399" s="1501"/>
      <c r="X399" s="1501"/>
    </row>
    <row r="400" spans="1:24" ht="13.5" hidden="1" customHeight="1" x14ac:dyDescent="0.2">
      <c r="A400" s="3978" t="s">
        <v>1296</v>
      </c>
      <c r="B400" s="3978"/>
      <c r="C400" s="3978"/>
      <c r="D400" s="3978"/>
      <c r="E400" s="3978"/>
      <c r="F400" s="3978"/>
      <c r="G400" s="3978"/>
      <c r="H400" s="3978"/>
      <c r="I400" s="1485">
        <f t="shared" si="196"/>
        <v>5.3</v>
      </c>
      <c r="J400" s="1502">
        <f>SUM(J148)</f>
        <v>5.3</v>
      </c>
      <c r="K400" s="1502">
        <f>SUM(K148)</f>
        <v>5.2</v>
      </c>
      <c r="L400" s="1502">
        <f>SUM(L148)</f>
        <v>0</v>
      </c>
      <c r="M400" s="1485">
        <f t="shared" si="197"/>
        <v>5.2</v>
      </c>
      <c r="N400" s="1502">
        <f>SUM(N148)</f>
        <v>5.2</v>
      </c>
      <c r="O400" s="1502">
        <f>SUM(O148)</f>
        <v>4.7</v>
      </c>
      <c r="P400" s="1503">
        <f>SUM(P148)</f>
        <v>0</v>
      </c>
      <c r="Q400" s="1485">
        <f t="shared" si="198"/>
        <v>5.2</v>
      </c>
      <c r="R400" s="1503">
        <f>SUM(R148)</f>
        <v>5.2</v>
      </c>
      <c r="S400" s="1503">
        <f>SUM(S148)</f>
        <v>4.7</v>
      </c>
      <c r="T400" s="1503">
        <f>SUM(T148)</f>
        <v>0</v>
      </c>
      <c r="U400" s="1485">
        <f t="shared" si="199"/>
        <v>5.2</v>
      </c>
      <c r="V400" s="1503">
        <f>SUM(V148)</f>
        <v>5.2</v>
      </c>
      <c r="W400" s="1503">
        <f>SUM(W148)</f>
        <v>4.7</v>
      </c>
      <c r="X400" s="1503">
        <f>SUM(X148)</f>
        <v>0</v>
      </c>
    </row>
    <row r="401" spans="1:24" ht="13.5" hidden="1" customHeight="1" x14ac:dyDescent="0.2">
      <c r="A401" s="3978" t="s">
        <v>1297</v>
      </c>
      <c r="B401" s="3978"/>
      <c r="C401" s="3978"/>
      <c r="D401" s="3978"/>
      <c r="E401" s="3978"/>
      <c r="F401" s="3978"/>
      <c r="G401" s="3978"/>
      <c r="H401" s="3978"/>
      <c r="I401" s="1485">
        <f t="shared" si="196"/>
        <v>5.3</v>
      </c>
      <c r="J401" s="1502">
        <f>SUM(J147)</f>
        <v>5.3</v>
      </c>
      <c r="K401" s="1502">
        <f>SUM(K147)</f>
        <v>5.2</v>
      </c>
      <c r="L401" s="1502">
        <f>SUM(L147)</f>
        <v>0</v>
      </c>
      <c r="M401" s="1485">
        <f t="shared" si="197"/>
        <v>5.2</v>
      </c>
      <c r="N401" s="1502">
        <f>SUM(N147)</f>
        <v>5.2</v>
      </c>
      <c r="O401" s="1502">
        <f>SUM(O147)</f>
        <v>4.7</v>
      </c>
      <c r="P401" s="1503">
        <f>SUM(P147)</f>
        <v>0</v>
      </c>
      <c r="Q401" s="1485">
        <f t="shared" si="198"/>
        <v>5.2</v>
      </c>
      <c r="R401" s="1503">
        <f>SUM(R147)</f>
        <v>5.2</v>
      </c>
      <c r="S401" s="1503">
        <f>SUM(S147)</f>
        <v>4.7</v>
      </c>
      <c r="T401" s="1503">
        <f>SUM(T147)</f>
        <v>0</v>
      </c>
      <c r="U401" s="1485">
        <f t="shared" si="199"/>
        <v>5.2</v>
      </c>
      <c r="V401" s="1503">
        <f>SUM(V147)</f>
        <v>5.2</v>
      </c>
      <c r="W401" s="1503">
        <f>SUM(W147)</f>
        <v>4.7</v>
      </c>
      <c r="X401" s="1503">
        <f>SUM(X147)</f>
        <v>0</v>
      </c>
    </row>
    <row r="402" spans="1:24" ht="13.5" hidden="1" customHeight="1" x14ac:dyDescent="0.2">
      <c r="A402" s="3975" t="s">
        <v>1298</v>
      </c>
      <c r="B402" s="3975"/>
      <c r="C402" s="3975"/>
      <c r="D402" s="3975"/>
      <c r="E402" s="3975"/>
      <c r="F402" s="3975"/>
      <c r="G402" s="3975"/>
      <c r="H402" s="3975"/>
      <c r="I402" s="1485" t="e">
        <f t="shared" si="196"/>
        <v>#REF!</v>
      </c>
      <c r="J402" s="1492" t="e">
        <f>SUM(#REF!)</f>
        <v>#REF!</v>
      </c>
      <c r="K402" s="1492" t="e">
        <f>SUM(#REF!)</f>
        <v>#REF!</v>
      </c>
      <c r="L402" s="1492" t="e">
        <f>SUM(#REF!)</f>
        <v>#REF!</v>
      </c>
      <c r="M402" s="1485" t="e">
        <f t="shared" si="197"/>
        <v>#REF!</v>
      </c>
      <c r="N402" s="1492" t="e">
        <f>SUM(#REF!)</f>
        <v>#REF!</v>
      </c>
      <c r="O402" s="1492" t="e">
        <f>SUM(#REF!)</f>
        <v>#REF!</v>
      </c>
      <c r="P402" s="1492" t="e">
        <f>SUM(#REF!)</f>
        <v>#REF!</v>
      </c>
      <c r="Q402" s="1485" t="e">
        <f t="shared" si="198"/>
        <v>#REF!</v>
      </c>
      <c r="R402" s="1492" t="e">
        <f>SUM(#REF!)</f>
        <v>#REF!</v>
      </c>
      <c r="S402" s="1492" t="e">
        <f>SUM(#REF!)</f>
        <v>#REF!</v>
      </c>
      <c r="T402" s="1492" t="e">
        <f>SUM(#REF!)</f>
        <v>#REF!</v>
      </c>
      <c r="U402" s="1485" t="e">
        <f t="shared" si="199"/>
        <v>#REF!</v>
      </c>
      <c r="V402" s="1492" t="e">
        <f>SUM(#REF!)</f>
        <v>#REF!</v>
      </c>
      <c r="W402" s="1492" t="e">
        <f>SUM(#REF!)</f>
        <v>#REF!</v>
      </c>
      <c r="X402" s="1492" t="e">
        <f>SUM(#REF!)</f>
        <v>#REF!</v>
      </c>
    </row>
    <row r="403" spans="1:24" ht="15.75" hidden="1" customHeight="1" x14ac:dyDescent="0.2">
      <c r="A403" s="3979" t="s">
        <v>1299</v>
      </c>
      <c r="B403" s="3979"/>
      <c r="C403" s="3979"/>
      <c r="D403" s="3979"/>
      <c r="E403" s="3979"/>
      <c r="F403" s="3979"/>
      <c r="G403" s="3979"/>
      <c r="H403" s="3979"/>
      <c r="I403" s="1485" t="e">
        <f t="shared" si="196"/>
        <v>#REF!</v>
      </c>
      <c r="J403" s="1504" t="e">
        <f>SUM(J365+J371+J375+J378+J385+J387+J389+J392+J395+J396+J397+J398+J400+J401+J402)</f>
        <v>#REF!</v>
      </c>
      <c r="K403" s="1504" t="e">
        <f>SUM(K365+K371+K375+K378+K385+K387+K389+K392+K395+K396+K397+K398+K400+K401+K402)</f>
        <v>#REF!</v>
      </c>
      <c r="L403" s="1504" t="e">
        <f>SUM(L365+L371+L375+L378+L385+L387+L389+L392+L395+L396+L397+L398+L400+L401+L402)</f>
        <v>#REF!</v>
      </c>
      <c r="M403" s="1485" t="e">
        <f t="shared" si="197"/>
        <v>#REF!</v>
      </c>
      <c r="N403" s="1504" t="e">
        <f>SUM(N365+N371+N375+N378+N381+N385+N387+N389+N392+N395+N398+N399+N400+N401+N402)</f>
        <v>#REF!</v>
      </c>
      <c r="O403" s="1504" t="e">
        <f>SUM(O365+O371+O375+O378+O381+O385+O387+O389+O392+O395+O398+O399+O400+O401+O402)</f>
        <v>#REF!</v>
      </c>
      <c r="P403" s="1504" t="e">
        <f>SUM(P365+P371+P375+P378+P381+P385+P387+P389+P392+P395+P398+P399+P400+P401+P402)</f>
        <v>#REF!</v>
      </c>
      <c r="Q403" s="1485" t="e">
        <f t="shared" si="198"/>
        <v>#REF!</v>
      </c>
      <c r="R403" s="1504" t="e">
        <f>SUM(R365+R371+R375+R378+R381+R385+R387+R389+R392+R395+R398+R400+R401+R402)</f>
        <v>#REF!</v>
      </c>
      <c r="S403" s="1504" t="e">
        <f>SUM(S365+S371+S375+S378+S381+S385+S387+S389+S392+S395+S398+S400+S401+S402)</f>
        <v>#REF!</v>
      </c>
      <c r="T403" s="1504" t="e">
        <f>SUM(T365+T371+T375+T378+T381+T385+T387+T389+T392+T395+T398+T400+T401+T402)</f>
        <v>#REF!</v>
      </c>
      <c r="U403" s="1485" t="e">
        <f t="shared" si="199"/>
        <v>#REF!</v>
      </c>
      <c r="V403" s="1504" t="e">
        <f>SUM(V365+V371+V375+V378+V381+V385+V387+V389+V392+V395+V398+V400+V401+V402)</f>
        <v>#REF!</v>
      </c>
      <c r="W403" s="1504" t="e">
        <f>SUM(W365+W371+W375+W378+W381+W385+W387+W389+W392+W395+W398+W400+W401+W402)</f>
        <v>#REF!</v>
      </c>
      <c r="X403" s="1504" t="e">
        <f>SUM(X365+X371+X375+X378+X381+X385+X387+X389+X392+X395+X398+X400+X401+X402)</f>
        <v>#REF!</v>
      </c>
    </row>
    <row r="405" spans="1:24" s="539" customFormat="1" x14ac:dyDescent="0.2">
      <c r="A405" s="1505"/>
      <c r="B405" s="1505"/>
      <c r="C405" s="1505"/>
      <c r="D405" s="1506"/>
      <c r="F405" s="1507"/>
      <c r="G405" s="1507"/>
      <c r="H405" s="1508"/>
      <c r="I405" s="646">
        <f t="shared" ref="I405:X405" si="202">I334-I350</f>
        <v>0</v>
      </c>
      <c r="J405" s="646">
        <f t="shared" si="202"/>
        <v>0</v>
      </c>
      <c r="K405" s="646">
        <f t="shared" si="202"/>
        <v>0</v>
      </c>
      <c r="L405" s="646">
        <f t="shared" si="202"/>
        <v>0</v>
      </c>
      <c r="M405" s="1509">
        <f t="shared" si="202"/>
        <v>0</v>
      </c>
      <c r="N405" s="1509">
        <f t="shared" si="202"/>
        <v>0</v>
      </c>
      <c r="O405" s="1509">
        <f t="shared" si="202"/>
        <v>0</v>
      </c>
      <c r="P405" s="646">
        <f t="shared" si="202"/>
        <v>0</v>
      </c>
      <c r="Q405" s="646">
        <f t="shared" si="202"/>
        <v>0</v>
      </c>
      <c r="R405" s="646">
        <f t="shared" si="202"/>
        <v>0</v>
      </c>
      <c r="S405" s="646">
        <f t="shared" si="202"/>
        <v>0</v>
      </c>
      <c r="T405" s="646">
        <f t="shared" si="202"/>
        <v>0</v>
      </c>
      <c r="U405" s="646">
        <f t="shared" si="202"/>
        <v>0</v>
      </c>
      <c r="V405" s="646">
        <f t="shared" si="202"/>
        <v>0</v>
      </c>
      <c r="W405" s="646">
        <f t="shared" si="202"/>
        <v>0</v>
      </c>
      <c r="X405" s="646">
        <f t="shared" si="202"/>
        <v>0</v>
      </c>
    </row>
    <row r="409" spans="1:24" x14ac:dyDescent="0.2">
      <c r="M409" s="342"/>
      <c r="N409" s="342"/>
      <c r="O409" s="342"/>
    </row>
  </sheetData>
  <sheetProtection selectLockedCells="1" selectUnlockedCells="1"/>
  <mergeCells count="679">
    <mergeCell ref="A400:H400"/>
    <mergeCell ref="A401:H401"/>
    <mergeCell ref="A402:H402"/>
    <mergeCell ref="A403:H403"/>
    <mergeCell ref="A394:H394"/>
    <mergeCell ref="A395:H395"/>
    <mergeCell ref="A396:H396"/>
    <mergeCell ref="A397:H397"/>
    <mergeCell ref="A398:H398"/>
    <mergeCell ref="A399:H399"/>
    <mergeCell ref="A388:H388"/>
    <mergeCell ref="A389:H389"/>
    <mergeCell ref="A390:H390"/>
    <mergeCell ref="A391:H391"/>
    <mergeCell ref="A392:H392"/>
    <mergeCell ref="A393:H393"/>
    <mergeCell ref="A382:H382"/>
    <mergeCell ref="A383:H383"/>
    <mergeCell ref="A384:H384"/>
    <mergeCell ref="A385:H385"/>
    <mergeCell ref="A386:H386"/>
    <mergeCell ref="A387:H387"/>
    <mergeCell ref="A376:H376"/>
    <mergeCell ref="A377:H377"/>
    <mergeCell ref="A378:H378"/>
    <mergeCell ref="A379:H379"/>
    <mergeCell ref="A380:H380"/>
    <mergeCell ref="A381:H381"/>
    <mergeCell ref="A370:H370"/>
    <mergeCell ref="A371:H371"/>
    <mergeCell ref="A372:H372"/>
    <mergeCell ref="A373:H373"/>
    <mergeCell ref="A374:H374"/>
    <mergeCell ref="A375:H375"/>
    <mergeCell ref="A364:H364"/>
    <mergeCell ref="A365:H365"/>
    <mergeCell ref="A366:H366"/>
    <mergeCell ref="A367:H367"/>
    <mergeCell ref="A368:H368"/>
    <mergeCell ref="A369:H369"/>
    <mergeCell ref="A358:H358"/>
    <mergeCell ref="A359:H359"/>
    <mergeCell ref="A360:H360"/>
    <mergeCell ref="A361:H361"/>
    <mergeCell ref="A362:H362"/>
    <mergeCell ref="A363:H363"/>
    <mergeCell ref="A352:H352"/>
    <mergeCell ref="A353:H353"/>
    <mergeCell ref="A354:H354"/>
    <mergeCell ref="A355:H355"/>
    <mergeCell ref="A356:H356"/>
    <mergeCell ref="A357:H357"/>
    <mergeCell ref="A346:H346"/>
    <mergeCell ref="A347:H347"/>
    <mergeCell ref="A348:H348"/>
    <mergeCell ref="A349:H349"/>
    <mergeCell ref="A350:H350"/>
    <mergeCell ref="A351:X351"/>
    <mergeCell ref="A340:H340"/>
    <mergeCell ref="A341:H341"/>
    <mergeCell ref="A342:H342"/>
    <mergeCell ref="A343:H343"/>
    <mergeCell ref="A344:H344"/>
    <mergeCell ref="A345:H345"/>
    <mergeCell ref="A334:H334"/>
    <mergeCell ref="A335:H335"/>
    <mergeCell ref="A336:H336"/>
    <mergeCell ref="A337:H337"/>
    <mergeCell ref="A338:H338"/>
    <mergeCell ref="A339:H339"/>
    <mergeCell ref="G326:G329"/>
    <mergeCell ref="H326:H327"/>
    <mergeCell ref="H328:H329"/>
    <mergeCell ref="F330:H331"/>
    <mergeCell ref="C332:H332"/>
    <mergeCell ref="B333:H333"/>
    <mergeCell ref="A326:A331"/>
    <mergeCell ref="B326:B331"/>
    <mergeCell ref="C326:C331"/>
    <mergeCell ref="D326:D331"/>
    <mergeCell ref="E326:E331"/>
    <mergeCell ref="F326:F329"/>
    <mergeCell ref="A322:A325"/>
    <mergeCell ref="B322:B325"/>
    <mergeCell ref="C322:C325"/>
    <mergeCell ref="D322:D325"/>
    <mergeCell ref="E322:E325"/>
    <mergeCell ref="F322:F323"/>
    <mergeCell ref="G322:G323"/>
    <mergeCell ref="H322:H323"/>
    <mergeCell ref="F324:H325"/>
    <mergeCell ref="A318:A321"/>
    <mergeCell ref="B318:B321"/>
    <mergeCell ref="C318:C321"/>
    <mergeCell ref="D318:D321"/>
    <mergeCell ref="E318:E321"/>
    <mergeCell ref="F318:F319"/>
    <mergeCell ref="G318:G319"/>
    <mergeCell ref="H318:H319"/>
    <mergeCell ref="F320:H321"/>
    <mergeCell ref="C310:H310"/>
    <mergeCell ref="C311:X311"/>
    <mergeCell ref="A312:A317"/>
    <mergeCell ref="B312:B317"/>
    <mergeCell ref="C312:C317"/>
    <mergeCell ref="D312:D317"/>
    <mergeCell ref="E312:E317"/>
    <mergeCell ref="F312:F315"/>
    <mergeCell ref="G312:G315"/>
    <mergeCell ref="H312:H313"/>
    <mergeCell ref="H314:H315"/>
    <mergeCell ref="F316:H317"/>
    <mergeCell ref="A308:A309"/>
    <mergeCell ref="B308:B309"/>
    <mergeCell ref="C308:C309"/>
    <mergeCell ref="D308:D309"/>
    <mergeCell ref="E308:E309"/>
    <mergeCell ref="F309:H309"/>
    <mergeCell ref="C303:H303"/>
    <mergeCell ref="C304:X304"/>
    <mergeCell ref="A305:A307"/>
    <mergeCell ref="B305:B307"/>
    <mergeCell ref="C305:C307"/>
    <mergeCell ref="D305:D307"/>
    <mergeCell ref="E305:E307"/>
    <mergeCell ref="F305:F306"/>
    <mergeCell ref="G305:G306"/>
    <mergeCell ref="F307:H307"/>
    <mergeCell ref="A301:A302"/>
    <mergeCell ref="B301:B302"/>
    <mergeCell ref="C301:C302"/>
    <mergeCell ref="D301:D302"/>
    <mergeCell ref="E301:E302"/>
    <mergeCell ref="F302:H302"/>
    <mergeCell ref="G295:G297"/>
    <mergeCell ref="F298:H298"/>
    <mergeCell ref="A299:A300"/>
    <mergeCell ref="B299:B300"/>
    <mergeCell ref="C299:C300"/>
    <mergeCell ref="D299:D300"/>
    <mergeCell ref="E299:E300"/>
    <mergeCell ref="F300:H300"/>
    <mergeCell ref="A295:A298"/>
    <mergeCell ref="B295:B298"/>
    <mergeCell ref="C295:C298"/>
    <mergeCell ref="D295:D298"/>
    <mergeCell ref="E295:E298"/>
    <mergeCell ref="F295:F297"/>
    <mergeCell ref="A293:A294"/>
    <mergeCell ref="B293:B294"/>
    <mergeCell ref="C293:C294"/>
    <mergeCell ref="D293:D294"/>
    <mergeCell ref="E293:E294"/>
    <mergeCell ref="F294:H294"/>
    <mergeCell ref="A291:A292"/>
    <mergeCell ref="B291:B292"/>
    <mergeCell ref="C291:C292"/>
    <mergeCell ref="D291:D292"/>
    <mergeCell ref="E291:E292"/>
    <mergeCell ref="F292:H292"/>
    <mergeCell ref="G284:G286"/>
    <mergeCell ref="F287:H287"/>
    <mergeCell ref="A288:A290"/>
    <mergeCell ref="B288:B290"/>
    <mergeCell ref="C288:C290"/>
    <mergeCell ref="D288:D290"/>
    <mergeCell ref="F288:F289"/>
    <mergeCell ref="G288:G289"/>
    <mergeCell ref="H288:H289"/>
    <mergeCell ref="F290:H290"/>
    <mergeCell ref="A284:A287"/>
    <mergeCell ref="B284:B287"/>
    <mergeCell ref="C284:C287"/>
    <mergeCell ref="D284:D287"/>
    <mergeCell ref="E284:E287"/>
    <mergeCell ref="F284:F286"/>
    <mergeCell ref="A282:A283"/>
    <mergeCell ref="B282:B283"/>
    <mergeCell ref="C282:C283"/>
    <mergeCell ref="D282:D283"/>
    <mergeCell ref="E282:E283"/>
    <mergeCell ref="F283:H283"/>
    <mergeCell ref="C277:H277"/>
    <mergeCell ref="C278:X278"/>
    <mergeCell ref="A279:A281"/>
    <mergeCell ref="B279:B281"/>
    <mergeCell ref="C279:C281"/>
    <mergeCell ref="D279:D281"/>
    <mergeCell ref="E279:E281"/>
    <mergeCell ref="F279:F280"/>
    <mergeCell ref="G279:G280"/>
    <mergeCell ref="F281:H281"/>
    <mergeCell ref="A275:A276"/>
    <mergeCell ref="B275:B276"/>
    <mergeCell ref="C275:C276"/>
    <mergeCell ref="D275:D276"/>
    <mergeCell ref="E275:E276"/>
    <mergeCell ref="F276:H276"/>
    <mergeCell ref="A273:A274"/>
    <mergeCell ref="B273:B274"/>
    <mergeCell ref="C273:C274"/>
    <mergeCell ref="D273:D274"/>
    <mergeCell ref="E273:E274"/>
    <mergeCell ref="F274:H274"/>
    <mergeCell ref="G268:G269"/>
    <mergeCell ref="F270:H270"/>
    <mergeCell ref="A271:A272"/>
    <mergeCell ref="B271:B272"/>
    <mergeCell ref="C271:C272"/>
    <mergeCell ref="D271:D272"/>
    <mergeCell ref="E271:E272"/>
    <mergeCell ref="F272:H272"/>
    <mergeCell ref="C264:H264"/>
    <mergeCell ref="B265:H265"/>
    <mergeCell ref="B266:X266"/>
    <mergeCell ref="C267:X267"/>
    <mergeCell ref="A268:A270"/>
    <mergeCell ref="B268:B270"/>
    <mergeCell ref="C268:C270"/>
    <mergeCell ref="D268:D270"/>
    <mergeCell ref="E268:E270"/>
    <mergeCell ref="F268:F269"/>
    <mergeCell ref="A250:A263"/>
    <mergeCell ref="B250:B263"/>
    <mergeCell ref="C250:C263"/>
    <mergeCell ref="D250:D263"/>
    <mergeCell ref="E250:E252"/>
    <mergeCell ref="F250:F252"/>
    <mergeCell ref="E257:E258"/>
    <mergeCell ref="F257:F258"/>
    <mergeCell ref="F263:H263"/>
    <mergeCell ref="G257:G258"/>
    <mergeCell ref="E259:E260"/>
    <mergeCell ref="F259:F260"/>
    <mergeCell ref="G259:G260"/>
    <mergeCell ref="E261:E262"/>
    <mergeCell ref="F261:F262"/>
    <mergeCell ref="G261:G262"/>
    <mergeCell ref="G250:G252"/>
    <mergeCell ref="E253:E254"/>
    <mergeCell ref="F253:F254"/>
    <mergeCell ref="G253:G254"/>
    <mergeCell ref="E255:E256"/>
    <mergeCell ref="F255:F256"/>
    <mergeCell ref="G255:G256"/>
    <mergeCell ref="C246:H246"/>
    <mergeCell ref="C247:X247"/>
    <mergeCell ref="A248:A249"/>
    <mergeCell ref="B248:B249"/>
    <mergeCell ref="C248:C249"/>
    <mergeCell ref="D248:D249"/>
    <mergeCell ref="E248:E249"/>
    <mergeCell ref="F249:H249"/>
    <mergeCell ref="A244:A245"/>
    <mergeCell ref="B244:B245"/>
    <mergeCell ref="C244:C245"/>
    <mergeCell ref="D244:D245"/>
    <mergeCell ref="E244:E245"/>
    <mergeCell ref="F245:H245"/>
    <mergeCell ref="G239:G240"/>
    <mergeCell ref="F241:H241"/>
    <mergeCell ref="A242:A243"/>
    <mergeCell ref="B242:B243"/>
    <mergeCell ref="C242:C243"/>
    <mergeCell ref="D242:D243"/>
    <mergeCell ref="E242:E243"/>
    <mergeCell ref="F243:H243"/>
    <mergeCell ref="A239:A241"/>
    <mergeCell ref="B239:B241"/>
    <mergeCell ref="C239:C241"/>
    <mergeCell ref="D239:D241"/>
    <mergeCell ref="E239:E241"/>
    <mergeCell ref="F239:F240"/>
    <mergeCell ref="G231:G233"/>
    <mergeCell ref="F234:H234"/>
    <mergeCell ref="C235:H235"/>
    <mergeCell ref="B236:H236"/>
    <mergeCell ref="B237:X237"/>
    <mergeCell ref="C238:X238"/>
    <mergeCell ref="A231:A234"/>
    <mergeCell ref="B231:B234"/>
    <mergeCell ref="C231:C234"/>
    <mergeCell ref="D231:D234"/>
    <mergeCell ref="E231:E234"/>
    <mergeCell ref="F231:F233"/>
    <mergeCell ref="C226:H226"/>
    <mergeCell ref="C227:X227"/>
    <mergeCell ref="A228:A230"/>
    <mergeCell ref="B228:B230"/>
    <mergeCell ref="C228:C230"/>
    <mergeCell ref="D228:D230"/>
    <mergeCell ref="E228:E230"/>
    <mergeCell ref="F228:F229"/>
    <mergeCell ref="G228:G229"/>
    <mergeCell ref="F230:H230"/>
    <mergeCell ref="C222:H222"/>
    <mergeCell ref="C223:X223"/>
    <mergeCell ref="A224:A225"/>
    <mergeCell ref="B224:B225"/>
    <mergeCell ref="C224:C225"/>
    <mergeCell ref="D224:D225"/>
    <mergeCell ref="E224:E225"/>
    <mergeCell ref="F225:H225"/>
    <mergeCell ref="A218:A219"/>
    <mergeCell ref="B218:B219"/>
    <mergeCell ref="C218:C219"/>
    <mergeCell ref="D218:D219"/>
    <mergeCell ref="E218:E219"/>
    <mergeCell ref="F219:H219"/>
    <mergeCell ref="A220:A221"/>
    <mergeCell ref="B220:B221"/>
    <mergeCell ref="C220:C221"/>
    <mergeCell ref="D220:D221"/>
    <mergeCell ref="E220:E221"/>
    <mergeCell ref="F221:H221"/>
    <mergeCell ref="A216:A217"/>
    <mergeCell ref="B216:B217"/>
    <mergeCell ref="C216:C217"/>
    <mergeCell ref="D216:D217"/>
    <mergeCell ref="E216:E217"/>
    <mergeCell ref="F217:H217"/>
    <mergeCell ref="F212:H212"/>
    <mergeCell ref="F213:H213"/>
    <mergeCell ref="A214:A215"/>
    <mergeCell ref="B214:B215"/>
    <mergeCell ref="C214:C215"/>
    <mergeCell ref="D214:D215"/>
    <mergeCell ref="E214:E215"/>
    <mergeCell ref="F215:H215"/>
    <mergeCell ref="A198:A207"/>
    <mergeCell ref="B198:B207"/>
    <mergeCell ref="C198:C207"/>
    <mergeCell ref="D198:D213"/>
    <mergeCell ref="F199:F210"/>
    <mergeCell ref="A208:A213"/>
    <mergeCell ref="B208:B213"/>
    <mergeCell ref="C208:C213"/>
    <mergeCell ref="E211:E213"/>
    <mergeCell ref="F211:H211"/>
    <mergeCell ref="A196:A197"/>
    <mergeCell ref="B196:B197"/>
    <mergeCell ref="C196:C197"/>
    <mergeCell ref="D196:D197"/>
    <mergeCell ref="E196:E197"/>
    <mergeCell ref="F197:H197"/>
    <mergeCell ref="E189:E190"/>
    <mergeCell ref="G189:G190"/>
    <mergeCell ref="E191:E192"/>
    <mergeCell ref="G191:G192"/>
    <mergeCell ref="E193:E195"/>
    <mergeCell ref="F193:H193"/>
    <mergeCell ref="F194:H194"/>
    <mergeCell ref="F195:H195"/>
    <mergeCell ref="A181:A195"/>
    <mergeCell ref="B181:B195"/>
    <mergeCell ref="C181:C195"/>
    <mergeCell ref="D181:D195"/>
    <mergeCell ref="E183:E184"/>
    <mergeCell ref="G183:G184"/>
    <mergeCell ref="E185:E186"/>
    <mergeCell ref="G185:G186"/>
    <mergeCell ref="E187:E188"/>
    <mergeCell ref="G187:G188"/>
    <mergeCell ref="E177:E178"/>
    <mergeCell ref="G177:G178"/>
    <mergeCell ref="E179:E180"/>
    <mergeCell ref="G179:G180"/>
    <mergeCell ref="E181:E182"/>
    <mergeCell ref="G181:G182"/>
    <mergeCell ref="A171:A180"/>
    <mergeCell ref="B171:B180"/>
    <mergeCell ref="C171:C180"/>
    <mergeCell ref="D171:D180"/>
    <mergeCell ref="E171:E172"/>
    <mergeCell ref="G171:G172"/>
    <mergeCell ref="E173:E174"/>
    <mergeCell ref="G173:G174"/>
    <mergeCell ref="E175:E176"/>
    <mergeCell ref="G175:G176"/>
    <mergeCell ref="A163:A170"/>
    <mergeCell ref="B163:B170"/>
    <mergeCell ref="C163:C170"/>
    <mergeCell ref="D163:D170"/>
    <mergeCell ref="E163:E170"/>
    <mergeCell ref="G163:G169"/>
    <mergeCell ref="H164:H165"/>
    <mergeCell ref="H167:H169"/>
    <mergeCell ref="F170:H170"/>
    <mergeCell ref="G147:G150"/>
    <mergeCell ref="H151:H157"/>
    <mergeCell ref="F158:H158"/>
    <mergeCell ref="A159:A162"/>
    <mergeCell ref="B159:B162"/>
    <mergeCell ref="C159:C162"/>
    <mergeCell ref="D159:D162"/>
    <mergeCell ref="E159:E162"/>
    <mergeCell ref="F159:F161"/>
    <mergeCell ref="G159:G161"/>
    <mergeCell ref="A147:A158"/>
    <mergeCell ref="B147:B158"/>
    <mergeCell ref="C147:C158"/>
    <mergeCell ref="D147:D158"/>
    <mergeCell ref="E147:E150"/>
    <mergeCell ref="F147:F157"/>
    <mergeCell ref="F162:H162"/>
    <mergeCell ref="G141:G142"/>
    <mergeCell ref="F143:H143"/>
    <mergeCell ref="A144:A146"/>
    <mergeCell ref="B144:B146"/>
    <mergeCell ref="C144:C146"/>
    <mergeCell ref="D144:D146"/>
    <mergeCell ref="E144:E146"/>
    <mergeCell ref="F144:F145"/>
    <mergeCell ref="G144:G145"/>
    <mergeCell ref="F146:H146"/>
    <mergeCell ref="A141:A143"/>
    <mergeCell ref="B141:B143"/>
    <mergeCell ref="C141:C143"/>
    <mergeCell ref="D141:D143"/>
    <mergeCell ref="E141:E143"/>
    <mergeCell ref="F141:F142"/>
    <mergeCell ref="A139:A140"/>
    <mergeCell ref="B139:B140"/>
    <mergeCell ref="C139:C140"/>
    <mergeCell ref="D139:D140"/>
    <mergeCell ref="E139:E140"/>
    <mergeCell ref="F140:H140"/>
    <mergeCell ref="A137:A138"/>
    <mergeCell ref="B137:B138"/>
    <mergeCell ref="C137:C138"/>
    <mergeCell ref="D137:D138"/>
    <mergeCell ref="E137:E138"/>
    <mergeCell ref="F138:H138"/>
    <mergeCell ref="G131:G132"/>
    <mergeCell ref="F133:H133"/>
    <mergeCell ref="A134:A136"/>
    <mergeCell ref="B134:B136"/>
    <mergeCell ref="C134:C136"/>
    <mergeCell ref="D134:D136"/>
    <mergeCell ref="E134:E136"/>
    <mergeCell ref="F134:F135"/>
    <mergeCell ref="G134:G135"/>
    <mergeCell ref="F136:H136"/>
    <mergeCell ref="A131:A133"/>
    <mergeCell ref="B131:B133"/>
    <mergeCell ref="C131:C133"/>
    <mergeCell ref="D131:D133"/>
    <mergeCell ref="E131:E133"/>
    <mergeCell ref="F131:F132"/>
    <mergeCell ref="G125:G126"/>
    <mergeCell ref="F127:H127"/>
    <mergeCell ref="A128:A130"/>
    <mergeCell ref="B128:B130"/>
    <mergeCell ref="C128:C130"/>
    <mergeCell ref="D128:D130"/>
    <mergeCell ref="E128:E130"/>
    <mergeCell ref="F128:F129"/>
    <mergeCell ref="G128:G129"/>
    <mergeCell ref="F130:H130"/>
    <mergeCell ref="A125:A127"/>
    <mergeCell ref="B125:B127"/>
    <mergeCell ref="C125:C127"/>
    <mergeCell ref="D125:D127"/>
    <mergeCell ref="E125:E127"/>
    <mergeCell ref="F125:F126"/>
    <mergeCell ref="C121:H121"/>
    <mergeCell ref="C122:X122"/>
    <mergeCell ref="A123:A124"/>
    <mergeCell ref="B123:B124"/>
    <mergeCell ref="C123:C124"/>
    <mergeCell ref="D123:D124"/>
    <mergeCell ref="E123:E124"/>
    <mergeCell ref="F124:H124"/>
    <mergeCell ref="G79:G103"/>
    <mergeCell ref="H81:H119"/>
    <mergeCell ref="A104:A120"/>
    <mergeCell ref="B104:B120"/>
    <mergeCell ref="C104:C120"/>
    <mergeCell ref="D104:D119"/>
    <mergeCell ref="F104:F119"/>
    <mergeCell ref="G104:G119"/>
    <mergeCell ref="F120:H120"/>
    <mergeCell ref="A79:A103"/>
    <mergeCell ref="B79:B103"/>
    <mergeCell ref="C79:C103"/>
    <mergeCell ref="D79:D103"/>
    <mergeCell ref="E79:E80"/>
    <mergeCell ref="F79:F103"/>
    <mergeCell ref="A77:A78"/>
    <mergeCell ref="B77:B78"/>
    <mergeCell ref="C77:C78"/>
    <mergeCell ref="D77:D78"/>
    <mergeCell ref="E77:E78"/>
    <mergeCell ref="F78:H78"/>
    <mergeCell ref="A75:A76"/>
    <mergeCell ref="B75:B76"/>
    <mergeCell ref="C75:C76"/>
    <mergeCell ref="D75:D76"/>
    <mergeCell ref="E75:E76"/>
    <mergeCell ref="F76:H76"/>
    <mergeCell ref="G70:G71"/>
    <mergeCell ref="F72:H72"/>
    <mergeCell ref="A73:A74"/>
    <mergeCell ref="B73:B74"/>
    <mergeCell ref="C73:C74"/>
    <mergeCell ref="D73:D74"/>
    <mergeCell ref="E73:E74"/>
    <mergeCell ref="F74:H74"/>
    <mergeCell ref="A70:A72"/>
    <mergeCell ref="B70:B72"/>
    <mergeCell ref="C70:C72"/>
    <mergeCell ref="D70:D72"/>
    <mergeCell ref="E70:E72"/>
    <mergeCell ref="F70:F71"/>
    <mergeCell ref="A68:A69"/>
    <mergeCell ref="B68:B69"/>
    <mergeCell ref="C68:C69"/>
    <mergeCell ref="D68:D69"/>
    <mergeCell ref="E68:E69"/>
    <mergeCell ref="F69:H69"/>
    <mergeCell ref="A66:A67"/>
    <mergeCell ref="B66:B67"/>
    <mergeCell ref="C66:C67"/>
    <mergeCell ref="D66:D67"/>
    <mergeCell ref="E66:E67"/>
    <mergeCell ref="F67:H67"/>
    <mergeCell ref="A64:A65"/>
    <mergeCell ref="B64:B65"/>
    <mergeCell ref="C64:C65"/>
    <mergeCell ref="D64:D65"/>
    <mergeCell ref="E64:E65"/>
    <mergeCell ref="F65:H65"/>
    <mergeCell ref="G58:G59"/>
    <mergeCell ref="F60:H60"/>
    <mergeCell ref="A61:A63"/>
    <mergeCell ref="B61:B63"/>
    <mergeCell ref="C61:C63"/>
    <mergeCell ref="D61:D63"/>
    <mergeCell ref="E61:E63"/>
    <mergeCell ref="F61:F62"/>
    <mergeCell ref="G61:G62"/>
    <mergeCell ref="F63:H63"/>
    <mergeCell ref="A58:A60"/>
    <mergeCell ref="B58:B60"/>
    <mergeCell ref="C58:C60"/>
    <mergeCell ref="D58:D60"/>
    <mergeCell ref="E58:E60"/>
    <mergeCell ref="F58:F59"/>
    <mergeCell ref="A56:A57"/>
    <mergeCell ref="B56:B57"/>
    <mergeCell ref="C56:C57"/>
    <mergeCell ref="D56:D57"/>
    <mergeCell ref="E56:E57"/>
    <mergeCell ref="F57:H57"/>
    <mergeCell ref="G50:G51"/>
    <mergeCell ref="F52:H52"/>
    <mergeCell ref="A53:A55"/>
    <mergeCell ref="B53:B55"/>
    <mergeCell ref="C53:C55"/>
    <mergeCell ref="D53:D55"/>
    <mergeCell ref="E53:E55"/>
    <mergeCell ref="F53:F54"/>
    <mergeCell ref="G53:G54"/>
    <mergeCell ref="F55:H55"/>
    <mergeCell ref="A50:A52"/>
    <mergeCell ref="B50:B52"/>
    <mergeCell ref="C50:C52"/>
    <mergeCell ref="D50:D52"/>
    <mergeCell ref="E50:E52"/>
    <mergeCell ref="F50:F51"/>
    <mergeCell ref="A48:A49"/>
    <mergeCell ref="B48:B49"/>
    <mergeCell ref="C48:C49"/>
    <mergeCell ref="D48:D49"/>
    <mergeCell ref="E48:E49"/>
    <mergeCell ref="F49:H49"/>
    <mergeCell ref="A46:A47"/>
    <mergeCell ref="B46:B47"/>
    <mergeCell ref="C46:C47"/>
    <mergeCell ref="D46:D47"/>
    <mergeCell ref="E46:E47"/>
    <mergeCell ref="F47:H47"/>
    <mergeCell ref="G41:G42"/>
    <mergeCell ref="F43:H43"/>
    <mergeCell ref="A44:A45"/>
    <mergeCell ref="B44:B45"/>
    <mergeCell ref="C44:C45"/>
    <mergeCell ref="D44:D45"/>
    <mergeCell ref="E44:E45"/>
    <mergeCell ref="F45:H45"/>
    <mergeCell ref="A41:A43"/>
    <mergeCell ref="B41:B43"/>
    <mergeCell ref="C41:C43"/>
    <mergeCell ref="D41:D43"/>
    <mergeCell ref="E41:E43"/>
    <mergeCell ref="F41:F42"/>
    <mergeCell ref="A39:A40"/>
    <mergeCell ref="B39:B40"/>
    <mergeCell ref="C39:C40"/>
    <mergeCell ref="D39:D40"/>
    <mergeCell ref="E39:E40"/>
    <mergeCell ref="F40:H40"/>
    <mergeCell ref="S36:S37"/>
    <mergeCell ref="T36:T37"/>
    <mergeCell ref="U36:U37"/>
    <mergeCell ref="G36:G37"/>
    <mergeCell ref="H36:H37"/>
    <mergeCell ref="I36:I37"/>
    <mergeCell ref="J36:J37"/>
    <mergeCell ref="K36:K37"/>
    <mergeCell ref="L36:L37"/>
    <mergeCell ref="A36:A38"/>
    <mergeCell ref="B36:B38"/>
    <mergeCell ref="C36:C38"/>
    <mergeCell ref="D36:D38"/>
    <mergeCell ref="E36:E38"/>
    <mergeCell ref="F36:F37"/>
    <mergeCell ref="F38:H38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H12:H15"/>
    <mergeCell ref="F16:H16"/>
    <mergeCell ref="A17:A35"/>
    <mergeCell ref="B17:B35"/>
    <mergeCell ref="C17:C35"/>
    <mergeCell ref="D17:D32"/>
    <mergeCell ref="E17:E18"/>
    <mergeCell ref="G17:G34"/>
    <mergeCell ref="E27:E32"/>
    <mergeCell ref="F35:H35"/>
    <mergeCell ref="A12:A16"/>
    <mergeCell ref="B12:B16"/>
    <mergeCell ref="C12:C16"/>
    <mergeCell ref="E12:E16"/>
    <mergeCell ref="F12:F15"/>
    <mergeCell ref="G12:G15"/>
    <mergeCell ref="A8:X8"/>
    <mergeCell ref="A9:X9"/>
    <mergeCell ref="B10:X10"/>
    <mergeCell ref="C11:X11"/>
    <mergeCell ref="Q5:Q7"/>
    <mergeCell ref="R5:T5"/>
    <mergeCell ref="U5:U7"/>
    <mergeCell ref="V5:X5"/>
    <mergeCell ref="J6:K6"/>
    <mergeCell ref="L6:L7"/>
    <mergeCell ref="N6:O6"/>
    <mergeCell ref="P6:P7"/>
    <mergeCell ref="R6:S6"/>
    <mergeCell ref="T6:T7"/>
    <mergeCell ref="G4:G7"/>
    <mergeCell ref="H4:H7"/>
    <mergeCell ref="I4:L4"/>
    <mergeCell ref="M4:P4"/>
    <mergeCell ref="Q4:T4"/>
    <mergeCell ref="U4:X4"/>
    <mergeCell ref="I5:I7"/>
    <mergeCell ref="J5:L5"/>
    <mergeCell ref="M5:M7"/>
    <mergeCell ref="N5:P5"/>
    <mergeCell ref="B1:D1"/>
    <mergeCell ref="T1:X1"/>
    <mergeCell ref="A2:X2"/>
    <mergeCell ref="A3:X3"/>
    <mergeCell ref="A4:A7"/>
    <mergeCell ref="B4:B7"/>
    <mergeCell ref="C4:C7"/>
    <mergeCell ref="D4:D7"/>
    <mergeCell ref="E4:E7"/>
    <mergeCell ref="F4:F7"/>
    <mergeCell ref="V6:W6"/>
    <mergeCell ref="X6:X7"/>
  </mergeCells>
  <pageMargins left="0.23622047244094491" right="0.23622047244094491" top="0.74803149606299213" bottom="0.74803149606299213" header="0.31496062992125984" footer="0.31496062992125984"/>
  <pageSetup paperSize="9" scale="78" fitToHeight="17" orientation="landscape" r:id="rId1"/>
  <headerFooter>
    <oddHeader>&amp;C&amp;P&amp;R9 programa</oddHeader>
  </headerFooter>
  <rowBreaks count="8" manualBreakCount="8">
    <brk id="133" max="23" man="1"/>
    <brk id="158" max="23" man="1"/>
    <brk id="180" max="23" man="1"/>
    <brk id="207" max="23" man="1"/>
    <brk id="236" max="23" man="1"/>
    <brk id="263" max="23" man="1"/>
    <brk id="283" max="23" man="1"/>
    <brk id="334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C58D5FAAB477BF468E1B678AF7DA70DA" ma:contentTypeVersion="5" ma:contentTypeDescription="Kurkite naują dokumentą." ma:contentTypeScope="" ma:versionID="6b848f3cb9a99c9ebb030fe28f892ed1">
  <xsd:schema xmlns:xsd="http://www.w3.org/2001/XMLSchema" xmlns:xs="http://www.w3.org/2001/XMLSchema" xmlns:p="http://schemas.microsoft.com/office/2006/metadata/properties" xmlns:ns2="c1735d09-ccc3-416e-be48-3def7266d969" xmlns:ns3="3119a47f-a1ee-4a22-aed0-d526b74a3a21" targetNamespace="http://schemas.microsoft.com/office/2006/metadata/properties" ma:root="true" ma:fieldsID="14340288630a997186ae995ea427f0ac" ns2:_="" ns3:_="">
    <xsd:import namespace="c1735d09-ccc3-416e-be48-3def7266d969"/>
    <xsd:import namespace="3119a47f-a1ee-4a22-aed0-d526b74a3a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35d09-ccc3-416e-be48-3def7266d9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9a47f-a1ee-4a22-aed0-d526b74a3a2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75275-1F2D-434D-9AD4-B753319303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313404-91A9-42E2-A38E-7029AF6F6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735d09-ccc3-416e-be48-3def7266d969"/>
    <ds:schemaRef ds:uri="3119a47f-a1ee-4a22-aed0-d526b74a3a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B0FD57-4CD5-4BFC-BEBD-5E6F1360E192}">
  <ds:schemaRefs>
    <ds:schemaRef ds:uri="http://purl.org/dc/elements/1.1/"/>
    <ds:schemaRef ds:uri="3119a47f-a1ee-4a22-aed0-d526b74a3a21"/>
    <ds:schemaRef ds:uri="http://purl.org/dc/terms/"/>
    <ds:schemaRef ds:uri="c1735d09-ccc3-416e-be48-3def7266d96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11</vt:i4>
      </vt:variant>
      <vt:variant>
        <vt:lpstr>Įvardinti diapazonai</vt:lpstr>
      </vt:variant>
      <vt:variant>
        <vt:i4>16</vt:i4>
      </vt:variant>
    </vt:vector>
  </HeadingPairs>
  <TitlesOfParts>
    <vt:vector size="27" baseType="lpstr">
      <vt:lpstr>1 programa</vt:lpstr>
      <vt:lpstr>2 programa</vt:lpstr>
      <vt:lpstr>3 programa</vt:lpstr>
      <vt:lpstr>4 programa</vt:lpstr>
      <vt:lpstr>5 programa</vt:lpstr>
      <vt:lpstr>6 programa</vt:lpstr>
      <vt:lpstr>7 programa</vt:lpstr>
      <vt:lpstr>8 programa</vt:lpstr>
      <vt:lpstr>9 programa</vt:lpstr>
      <vt:lpstr>SUVESTINĖ</vt:lpstr>
      <vt:lpstr>2022 m. tikslai</vt:lpstr>
      <vt:lpstr>'1 programa'!Print_Area</vt:lpstr>
      <vt:lpstr>'2 programa'!Print_Area</vt:lpstr>
      <vt:lpstr>'3 programa'!Print_Area</vt:lpstr>
      <vt:lpstr>'4 programa'!Print_Area</vt:lpstr>
      <vt:lpstr>'5 programa'!Print_Area</vt:lpstr>
      <vt:lpstr>'7 programa'!Print_Area</vt:lpstr>
      <vt:lpstr>'9 programa'!Print_Area</vt:lpstr>
      <vt:lpstr>SUVESTINĖ!Print_Area</vt:lpstr>
      <vt:lpstr>'1 programa'!Print_Titles</vt:lpstr>
      <vt:lpstr>'2 programa'!Print_Titles</vt:lpstr>
      <vt:lpstr>'3 programa'!Print_Titles</vt:lpstr>
      <vt:lpstr>'4 programa'!Print_Titles</vt:lpstr>
      <vt:lpstr>'5 programa'!Print_Titles</vt:lpstr>
      <vt:lpstr>'7 programa'!Print_Titles</vt:lpstr>
      <vt:lpstr>'9 programa'!Print_Titles</vt:lpstr>
      <vt:lpstr>SUVESTINĖ!Print_Titles</vt:lpstr>
    </vt:vector>
  </TitlesOfParts>
  <Manager/>
  <Company>----------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Šatkus</dc:creator>
  <cp:keywords/>
  <dc:description/>
  <cp:lastModifiedBy>Mindaugas Šatkus</cp:lastModifiedBy>
  <cp:revision/>
  <cp:lastPrinted>2022-01-17T09:47:30Z</cp:lastPrinted>
  <dcterms:created xsi:type="dcterms:W3CDTF">2015-02-01T20:48:48Z</dcterms:created>
  <dcterms:modified xsi:type="dcterms:W3CDTF">2022-03-21T10:39:21Z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0x010100C58D5FAAB477BF468E1B678AF7DA70DA</vt:lpwstr>
  </property>
</Properties>
</file>