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ena.gailiuviene\Desktop\liepos men biud tikslin\biud tikslin_komit\"/>
    </mc:Choice>
  </mc:AlternateContent>
  <xr:revisionPtr revIDLastSave="0" documentId="13_ncr:1_{AC74E6CB-692B-4E31-A1F6-7EB8510A7F91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1 priedas" sheetId="1" r:id="rId1"/>
    <sheet name="3 priedas" sheetId="7" r:id="rId2"/>
    <sheet name="4 priedas" sheetId="9" r:id="rId3"/>
    <sheet name="5 prieda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77" i="6" l="1"/>
  <c r="D695" i="6"/>
  <c r="D630" i="6"/>
  <c r="E213" i="6"/>
  <c r="E594" i="6"/>
  <c r="D594" i="6"/>
  <c r="E591" i="6"/>
  <c r="D591" i="6"/>
  <c r="E589" i="6"/>
  <c r="D589" i="6"/>
  <c r="D572" i="6"/>
  <c r="D551" i="6"/>
  <c r="D519" i="6"/>
  <c r="D510" i="6"/>
  <c r="D502" i="6"/>
  <c r="D487" i="6"/>
  <c r="D481" i="6"/>
  <c r="D471" i="6"/>
  <c r="D468" i="6"/>
  <c r="D464" i="6"/>
  <c r="D460" i="6"/>
  <c r="E455" i="6"/>
  <c r="D455" i="6"/>
  <c r="D454" i="6"/>
  <c r="D453" i="6"/>
  <c r="D447" i="6"/>
  <c r="D438" i="6"/>
  <c r="D426" i="6"/>
  <c r="D416" i="6"/>
  <c r="D414" i="6"/>
  <c r="D378" i="6"/>
  <c r="D370" i="6"/>
  <c r="D362" i="6"/>
  <c r="D356" i="6"/>
  <c r="D354" i="6"/>
  <c r="D346" i="6"/>
  <c r="D338" i="6"/>
  <c r="D329" i="6"/>
  <c r="D319" i="6"/>
  <c r="E263" i="6"/>
  <c r="D213" i="6"/>
  <c r="E203" i="6"/>
  <c r="D203" i="6"/>
  <c r="E193" i="6"/>
  <c r="D193" i="6"/>
  <c r="E183" i="6"/>
  <c r="D183" i="6"/>
  <c r="E173" i="6"/>
  <c r="D173" i="6"/>
  <c r="D169" i="6"/>
  <c r="E160" i="6"/>
  <c r="D160" i="6"/>
  <c r="E154" i="6"/>
  <c r="D154" i="6"/>
  <c r="D150" i="6"/>
  <c r="E144" i="6"/>
  <c r="D144" i="6"/>
  <c r="D140" i="6"/>
  <c r="E130" i="6"/>
  <c r="D130" i="6"/>
  <c r="E120" i="6"/>
  <c r="D120" i="6"/>
  <c r="D116" i="6"/>
  <c r="E110" i="6"/>
  <c r="D110" i="6"/>
  <c r="D109" i="6"/>
  <c r="D106" i="6"/>
  <c r="E100" i="6"/>
  <c r="D100" i="6"/>
  <c r="D96" i="6"/>
  <c r="E90" i="6"/>
  <c r="D90" i="6"/>
  <c r="D86" i="6"/>
  <c r="E80" i="6"/>
  <c r="D80" i="6"/>
  <c r="D79" i="6"/>
  <c r="E70" i="6"/>
  <c r="D70" i="6"/>
  <c r="D66" i="6"/>
  <c r="E60" i="6"/>
  <c r="D60" i="6"/>
  <c r="D55" i="6"/>
  <c r="E44" i="6"/>
  <c r="E37" i="6"/>
  <c r="D37" i="6"/>
  <c r="D33" i="6"/>
  <c r="E27" i="6"/>
  <c r="D27" i="6"/>
  <c r="D12" i="6"/>
  <c r="W9" i="9"/>
  <c r="R9" i="9"/>
  <c r="Q9" i="9"/>
  <c r="L9" i="9"/>
  <c r="F9" i="9"/>
  <c r="F45" i="7"/>
  <c r="F20" i="7"/>
  <c r="D20" i="7"/>
  <c r="D17" i="7"/>
  <c r="D58" i="1"/>
  <c r="D57" i="1"/>
  <c r="D24" i="1"/>
  <c r="D46" i="1" l="1"/>
  <c r="D44" i="1"/>
  <c r="D37" i="1"/>
  <c r="D19" i="1"/>
  <c r="D461" i="6" l="1"/>
  <c r="E125" i="6"/>
  <c r="D125" i="6"/>
  <c r="E85" i="6"/>
  <c r="E76" i="6"/>
  <c r="E16" i="6"/>
  <c r="D16" i="6"/>
  <c r="D644" i="6" s="1"/>
  <c r="E627" i="6" l="1"/>
  <c r="E644" i="6"/>
  <c r="D627" i="6"/>
  <c r="D32" i="1"/>
  <c r="D573" i="6"/>
  <c r="D18" i="1"/>
  <c r="D21" i="1"/>
  <c r="D49" i="1"/>
  <c r="D56" i="1"/>
  <c r="C51" i="7" l="1"/>
  <c r="E765" i="6"/>
  <c r="D765" i="6"/>
  <c r="D694" i="6"/>
  <c r="E645" i="6"/>
  <c r="D645" i="6"/>
  <c r="E629" i="6"/>
  <c r="D629" i="6"/>
  <c r="D628" i="6"/>
  <c r="D532" i="6"/>
  <c r="D557" i="6"/>
  <c r="D553" i="6"/>
  <c r="D705" i="6"/>
  <c r="E454" i="6"/>
  <c r="D407" i="6"/>
  <c r="D406" i="6" s="1"/>
  <c r="D386" i="6"/>
  <c r="D321" i="6"/>
  <c r="D308" i="6"/>
  <c r="D283" i="6"/>
  <c r="D273" i="6"/>
  <c r="D263" i="6"/>
  <c r="D237" i="6"/>
  <c r="D236" i="6" s="1"/>
  <c r="E236" i="6"/>
  <c r="D228" i="6"/>
  <c r="D219" i="6"/>
  <c r="D214" i="6"/>
  <c r="D199" i="6"/>
  <c r="D189" i="6"/>
  <c r="D179" i="6"/>
  <c r="D149" i="6"/>
  <c r="E149" i="6"/>
  <c r="E139" i="6"/>
  <c r="D139" i="6"/>
  <c r="D115" i="6"/>
  <c r="E115" i="6"/>
  <c r="D105" i="6"/>
  <c r="E105" i="6"/>
  <c r="E111" i="6"/>
  <c r="E95" i="6"/>
  <c r="D95" i="6"/>
  <c r="D85" i="6"/>
  <c r="D77" i="6"/>
  <c r="D76" i="6" s="1"/>
  <c r="D65" i="6"/>
  <c r="E65" i="6"/>
  <c r="D54" i="6"/>
  <c r="D45" i="6"/>
  <c r="D44" i="6" s="1"/>
  <c r="D32" i="6"/>
  <c r="E32" i="6"/>
  <c r="D22" i="6"/>
  <c r="D21" i="6" s="1"/>
  <c r="E21" i="6"/>
  <c r="E11" i="6"/>
  <c r="D11" i="6"/>
  <c r="T11" i="9"/>
  <c r="Z11" i="9" s="1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Z12" i="9"/>
  <c r="Z10" i="9"/>
  <c r="Z9" i="9"/>
  <c r="D634" i="6" l="1"/>
  <c r="D318" i="6"/>
  <c r="Z13" i="9"/>
  <c r="G52" i="7" l="1"/>
  <c r="F52" i="7"/>
  <c r="E52" i="7"/>
  <c r="D52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52" i="7" l="1"/>
  <c r="D41" i="1"/>
  <c r="D33" i="1"/>
  <c r="D10" i="1"/>
  <c r="D643" i="6"/>
  <c r="D642" i="6"/>
  <c r="D626" i="6"/>
  <c r="D625" i="6"/>
  <c r="D699" i="6" l="1"/>
  <c r="E753" i="6"/>
  <c r="E763" i="6" l="1"/>
  <c r="E764" i="6"/>
  <c r="D764" i="6"/>
  <c r="D763" i="6"/>
  <c r="D730" i="6"/>
  <c r="D729" i="6"/>
  <c r="D731" i="6"/>
  <c r="D702" i="6"/>
  <c r="D459" i="6"/>
  <c r="D392" i="6"/>
  <c r="D40" i="6"/>
  <c r="D685" i="6" l="1"/>
  <c r="D451" i="6"/>
  <c r="D613" i="6"/>
  <c r="D693" i="6"/>
  <c r="D692" i="6"/>
  <c r="E691" i="6"/>
  <c r="D691" i="6"/>
  <c r="E690" i="6"/>
  <c r="D690" i="6"/>
  <c r="E29" i="6" l="1"/>
  <c r="D29" i="6"/>
  <c r="E243" i="6"/>
  <c r="D243" i="6"/>
  <c r="E624" i="6"/>
  <c r="D624" i="6"/>
  <c r="E623" i="6"/>
  <c r="D623" i="6"/>
  <c r="E622" i="6"/>
  <c r="D622" i="6"/>
  <c r="E621" i="6"/>
  <c r="D621" i="6"/>
  <c r="D727" i="6"/>
  <c r="D742" i="6"/>
  <c r="D570" i="6"/>
  <c r="D753" i="6" s="1"/>
  <c r="E28" i="6" l="1"/>
  <c r="D28" i="6"/>
  <c r="D507" i="6"/>
  <c r="D713" i="6" s="1"/>
  <c r="D494" i="6"/>
  <c r="D466" i="6" s="1"/>
  <c r="E459" i="6"/>
  <c r="E451" i="6" s="1"/>
  <c r="D450" i="6"/>
  <c r="D617" i="6" s="1"/>
  <c r="D448" i="6"/>
  <c r="D445" i="6"/>
  <c r="D425" i="6"/>
  <c r="E685" i="6" l="1"/>
  <c r="E613" i="6"/>
  <c r="D389" i="6"/>
  <c r="E357" i="6"/>
  <c r="D357" i="6"/>
  <c r="D323" i="6"/>
  <c r="D302" i="6"/>
  <c r="E283" i="6"/>
  <c r="E303" i="6" l="1"/>
  <c r="E302" i="6" s="1"/>
  <c r="D293" i="6"/>
  <c r="D292" i="6" s="1"/>
  <c r="E293" i="6"/>
  <c r="E292" i="6" s="1"/>
  <c r="D255" i="6"/>
  <c r="E255" i="6"/>
  <c r="D132" i="6"/>
  <c r="E132" i="6"/>
  <c r="E55" i="6"/>
  <c r="E54" i="6" s="1"/>
  <c r="D679" i="6" l="1"/>
  <c r="E131" i="6"/>
  <c r="E679" i="6"/>
  <c r="D131" i="6"/>
  <c r="E762" i="6"/>
  <c r="D762" i="6"/>
  <c r="E619" i="6"/>
  <c r="D619" i="6"/>
  <c r="D511" i="6"/>
  <c r="D687" i="6"/>
  <c r="D211" i="6"/>
  <c r="D208" i="6" s="1"/>
  <c r="E211" i="6"/>
  <c r="E208" i="6" s="1"/>
  <c r="D201" i="6"/>
  <c r="D198" i="6" s="1"/>
  <c r="E201" i="6"/>
  <c r="E198" i="6" s="1"/>
  <c r="D191" i="6"/>
  <c r="D188" i="6" s="1"/>
  <c r="E191" i="6"/>
  <c r="E188" i="6" s="1"/>
  <c r="D181" i="6"/>
  <c r="D178" i="6" s="1"/>
  <c r="E181" i="6"/>
  <c r="E178" i="6" s="1"/>
  <c r="D171" i="6"/>
  <c r="D168" i="6" s="1"/>
  <c r="E171" i="6"/>
  <c r="E168" i="6" s="1"/>
  <c r="E638" i="6"/>
  <c r="E620" i="6"/>
  <c r="D620" i="6"/>
  <c r="E227" i="6"/>
  <c r="D227" i="6"/>
  <c r="E218" i="6"/>
  <c r="E637" i="6" l="1"/>
  <c r="D637" i="6"/>
  <c r="D276" i="6"/>
  <c r="E276" i="6"/>
  <c r="D272" i="6"/>
  <c r="E272" i="6"/>
  <c r="E271" i="6" l="1"/>
  <c r="E511" i="6" l="1"/>
  <c r="D688" i="6" l="1"/>
  <c r="D766" i="6"/>
  <c r="D610" i="6"/>
  <c r="E345" i="6"/>
  <c r="E337" i="6"/>
  <c r="E318" i="6"/>
  <c r="E313" i="6"/>
  <c r="E254" i="6"/>
  <c r="E247" i="6"/>
  <c r="E159" i="6"/>
  <c r="E634" i="6"/>
  <c r="E446" i="6"/>
  <c r="D446" i="6"/>
  <c r="E423" i="6"/>
  <c r="D423" i="6"/>
  <c r="E415" i="6"/>
  <c r="E406" i="6"/>
  <c r="E718" i="6"/>
  <c r="E610" i="6"/>
  <c r="E607" i="6"/>
  <c r="D618" i="6"/>
  <c r="E724" i="6"/>
  <c r="D724" i="6"/>
  <c r="E735" i="6"/>
  <c r="D735" i="6"/>
  <c r="E731" i="6"/>
  <c r="E742" i="6"/>
  <c r="E743" i="6"/>
  <c r="D743" i="6"/>
  <c r="D749" i="6"/>
  <c r="E750" i="6"/>
  <c r="D750" i="6"/>
  <c r="E752" i="6"/>
  <c r="D752" i="6"/>
  <c r="E756" i="6"/>
  <c r="D756" i="6"/>
  <c r="E761" i="6"/>
  <c r="D761" i="6"/>
  <c r="D767" i="6"/>
  <c r="D728" i="6"/>
  <c r="E659" i="6"/>
  <c r="D659" i="6"/>
  <c r="D493" i="6"/>
  <c r="D492" i="6"/>
  <c r="D491" i="6"/>
  <c r="D490" i="6"/>
  <c r="D489" i="6"/>
  <c r="D488" i="6"/>
  <c r="D486" i="6"/>
  <c r="D483" i="6"/>
  <c r="D674" i="6"/>
  <c r="D725" i="6" l="1"/>
  <c r="D517" i="6"/>
  <c r="D514" i="6" s="1"/>
  <c r="E576" i="6"/>
  <c r="D576" i="6"/>
  <c r="E760" i="6"/>
  <c r="D760" i="6"/>
  <c r="E571" i="6"/>
  <c r="E519" i="6"/>
  <c r="E727" i="6" s="1"/>
  <c r="E574" i="6" l="1"/>
  <c r="D574" i="6"/>
  <c r="E759" i="6"/>
  <c r="E757" i="6" s="1"/>
  <c r="D759" i="6"/>
  <c r="D757" i="6" s="1"/>
  <c r="E532" i="6"/>
  <c r="D734" i="6"/>
  <c r="D568" i="6"/>
  <c r="D751" i="6" s="1"/>
  <c r="E557" i="6"/>
  <c r="E748" i="6" s="1"/>
  <c r="D748" i="6"/>
  <c r="E552" i="6"/>
  <c r="E739" i="6" s="1"/>
  <c r="D552" i="6"/>
  <c r="D739" i="6" s="1"/>
  <c r="E551" i="6"/>
  <c r="E738" i="6" s="1"/>
  <c r="D738" i="6"/>
  <c r="D571" i="6"/>
  <c r="E556" i="6"/>
  <c r="D556" i="6"/>
  <c r="D554" i="6" s="1"/>
  <c r="E528" i="6"/>
  <c r="D528" i="6"/>
  <c r="E525" i="6"/>
  <c r="D525" i="6"/>
  <c r="D736" i="6" l="1"/>
  <c r="E736" i="6"/>
  <c r="E554" i="6"/>
  <c r="D732" i="6"/>
  <c r="D722" i="6" s="1"/>
  <c r="E242" i="6"/>
  <c r="E734" i="6"/>
  <c r="E601" i="6"/>
  <c r="E728" i="6"/>
  <c r="D747" i="6"/>
  <c r="D745" i="6" s="1"/>
  <c r="D755" i="6"/>
  <c r="D754" i="6" s="1"/>
  <c r="D601" i="6"/>
  <c r="E517" i="6"/>
  <c r="E514" i="6" s="1"/>
  <c r="D549" i="6"/>
  <c r="E549" i="6"/>
  <c r="D512" i="6" l="1"/>
  <c r="E732" i="6"/>
  <c r="E512" i="6"/>
  <c r="E466" i="6"/>
  <c r="D612" i="6"/>
  <c r="D615" i="6"/>
  <c r="D614" i="6"/>
  <c r="D609" i="6"/>
  <c r="D608" i="6"/>
  <c r="D606" i="6"/>
  <c r="D605" i="6"/>
  <c r="E602" i="6"/>
  <c r="D602" i="6"/>
  <c r="D611" i="6"/>
  <c r="D718" i="6"/>
  <c r="E719" i="6"/>
  <c r="D719" i="6"/>
  <c r="E508" i="6"/>
  <c r="D508" i="6"/>
  <c r="D716" i="6"/>
  <c r="E711" i="6"/>
  <c r="D711" i="6"/>
  <c r="E710" i="6"/>
  <c r="D710" i="6"/>
  <c r="D712" i="6"/>
  <c r="D500" i="6"/>
  <c r="D505" i="6"/>
  <c r="D369" i="6"/>
  <c r="D361" i="6"/>
  <c r="D353" i="6"/>
  <c r="D345" i="6"/>
  <c r="D340" i="6"/>
  <c r="D709" i="6" s="1"/>
  <c r="E329" i="6"/>
  <c r="E328" i="6" s="1"/>
  <c r="D328" i="6"/>
  <c r="D704" i="6"/>
  <c r="E702" i="6"/>
  <c r="D701" i="6"/>
  <c r="D700" i="6"/>
  <c r="E699" i="6"/>
  <c r="D698" i="6"/>
  <c r="E689" i="6"/>
  <c r="D689" i="6"/>
  <c r="D684" i="6"/>
  <c r="E683" i="6"/>
  <c r="D683" i="6"/>
  <c r="E681" i="6"/>
  <c r="D681" i="6"/>
  <c r="E680" i="6"/>
  <c r="D680" i="6"/>
  <c r="D285" i="6"/>
  <c r="E284" i="6"/>
  <c r="E282" i="6" s="1"/>
  <c r="D284" i="6"/>
  <c r="E673" i="6"/>
  <c r="D673" i="6"/>
  <c r="E672" i="6"/>
  <c r="D672" i="6"/>
  <c r="E671" i="6"/>
  <c r="D671" i="6"/>
  <c r="E669" i="6"/>
  <c r="D669" i="6"/>
  <c r="E668" i="6"/>
  <c r="D668" i="6"/>
  <c r="D240" i="6"/>
  <c r="D665" i="6"/>
  <c r="D664" i="6"/>
  <c r="D663" i="6"/>
  <c r="D662" i="6"/>
  <c r="D661" i="6"/>
  <c r="E653" i="6"/>
  <c r="D653" i="6"/>
  <c r="E654" i="6"/>
  <c r="D654" i="6"/>
  <c r="D652" i="6"/>
  <c r="D218" i="6"/>
  <c r="D638" i="6"/>
  <c r="E604" i="6"/>
  <c r="D604" i="6"/>
  <c r="D641" i="6"/>
  <c r="E640" i="6"/>
  <c r="D640" i="6"/>
  <c r="E636" i="6"/>
  <c r="D636" i="6"/>
  <c r="E603" i="6"/>
  <c r="D603" i="6"/>
  <c r="E635" i="6"/>
  <c r="D635" i="6"/>
  <c r="E600" i="6"/>
  <c r="D600" i="6"/>
  <c r="E744" i="6"/>
  <c r="E740" i="6" s="1"/>
  <c r="D744" i="6"/>
  <c r="D740" i="6" s="1"/>
  <c r="D720" i="6" s="1"/>
  <c r="E729" i="6"/>
  <c r="E725" i="6" s="1"/>
  <c r="E717" i="6"/>
  <c r="D717" i="6"/>
  <c r="E709" i="6"/>
  <c r="D703" i="6"/>
  <c r="E682" i="6"/>
  <c r="E670" i="6"/>
  <c r="D670" i="6"/>
  <c r="D660" i="6"/>
  <c r="E651" i="6"/>
  <c r="D651" i="6"/>
  <c r="E639" i="6"/>
  <c r="D639" i="6"/>
  <c r="D415" i="6"/>
  <c r="E402" i="6"/>
  <c r="E400" i="6" s="1"/>
  <c r="D402" i="6"/>
  <c r="D400" i="6" s="1"/>
  <c r="E396" i="6"/>
  <c r="E394" i="6" s="1"/>
  <c r="D396" i="6"/>
  <c r="D394" i="6" s="1"/>
  <c r="E385" i="6"/>
  <c r="E389" i="6"/>
  <c r="E377" i="6"/>
  <c r="D377" i="6"/>
  <c r="E381" i="6"/>
  <c r="D381" i="6"/>
  <c r="E369" i="6"/>
  <c r="E373" i="6"/>
  <c r="D373" i="6"/>
  <c r="E361" i="6"/>
  <c r="E365" i="6"/>
  <c r="D365" i="6"/>
  <c r="E353" i="6"/>
  <c r="E351" i="6" s="1"/>
  <c r="E349" i="6"/>
  <c r="E343" i="6" s="1"/>
  <c r="D349" i="6"/>
  <c r="E341" i="6"/>
  <c r="D341" i="6"/>
  <c r="E333" i="6"/>
  <c r="D333" i="6"/>
  <c r="E323" i="6"/>
  <c r="E311" i="6"/>
  <c r="D313" i="6"/>
  <c r="D311" i="6" s="1"/>
  <c r="E309" i="6"/>
  <c r="D309" i="6"/>
  <c r="E298" i="6"/>
  <c r="D298" i="6"/>
  <c r="E288" i="6"/>
  <c r="D288" i="6"/>
  <c r="D271" i="6"/>
  <c r="E278" i="6"/>
  <c r="E269" i="6" s="1"/>
  <c r="D278" i="6"/>
  <c r="E267" i="6"/>
  <c r="D267" i="6"/>
  <c r="D254" i="6"/>
  <c r="E258" i="6"/>
  <c r="D258" i="6"/>
  <c r="D247" i="6"/>
  <c r="E250" i="6"/>
  <c r="D250" i="6"/>
  <c r="D242" i="6"/>
  <c r="E232" i="6"/>
  <c r="D232" i="6"/>
  <c r="E223" i="6"/>
  <c r="D223" i="6"/>
  <c r="E214" i="6"/>
  <c r="E204" i="6"/>
  <c r="D204" i="6"/>
  <c r="E194" i="6"/>
  <c r="D194" i="6"/>
  <c r="E184" i="6"/>
  <c r="D184" i="6"/>
  <c r="E174" i="6"/>
  <c r="D174" i="6"/>
  <c r="D159" i="6"/>
  <c r="E164" i="6"/>
  <c r="D164" i="6"/>
  <c r="E155" i="6"/>
  <c r="D155" i="6"/>
  <c r="E145" i="6"/>
  <c r="D145" i="6"/>
  <c r="E135" i="6"/>
  <c r="E123" i="6" s="1"/>
  <c r="D135" i="6"/>
  <c r="D123" i="6" s="1"/>
  <c r="E121" i="6"/>
  <c r="D121" i="6"/>
  <c r="D111" i="6"/>
  <c r="E101" i="6"/>
  <c r="D101" i="6"/>
  <c r="D93" i="6" s="1"/>
  <c r="E91" i="6"/>
  <c r="D91" i="6"/>
  <c r="D83" i="6" s="1"/>
  <c r="E81" i="6"/>
  <c r="D81" i="6"/>
  <c r="E71" i="6"/>
  <c r="E63" i="6" s="1"/>
  <c r="D71" i="6"/>
  <c r="D63" i="6" s="1"/>
  <c r="E61" i="6"/>
  <c r="E52" i="6" s="1"/>
  <c r="D61" i="6"/>
  <c r="E50" i="6"/>
  <c r="D50" i="6"/>
  <c r="E38" i="6"/>
  <c r="E30" i="6" s="1"/>
  <c r="D38" i="6"/>
  <c r="E17" i="6"/>
  <c r="D17" i="6"/>
  <c r="D9" i="6" s="1"/>
  <c r="E755" i="6"/>
  <c r="E754" i="6" s="1"/>
  <c r="E747" i="6"/>
  <c r="E745" i="6" s="1"/>
  <c r="E716" i="6"/>
  <c r="D15" i="1"/>
  <c r="D11" i="1"/>
  <c r="D696" i="6" l="1"/>
  <c r="E632" i="6"/>
  <c r="D632" i="6"/>
  <c r="D607" i="6"/>
  <c r="E599" i="6"/>
  <c r="H597" i="6" s="1"/>
  <c r="D599" i="6"/>
  <c r="G597" i="6" s="1"/>
  <c r="D30" i="6"/>
  <c r="D404" i="6"/>
  <c r="D17" i="1"/>
  <c r="D68" i="1" s="1"/>
  <c r="D262" i="6"/>
  <c r="D260" i="6" s="1"/>
  <c r="E367" i="6"/>
  <c r="E375" i="6"/>
  <c r="D282" i="6"/>
  <c r="D280" i="6" s="1"/>
  <c r="E722" i="6"/>
  <c r="E720" i="6" s="1"/>
  <c r="D686" i="6"/>
  <c r="D616" i="6"/>
  <c r="E686" i="6"/>
  <c r="E616" i="6"/>
  <c r="E404" i="6"/>
  <c r="E262" i="6"/>
  <c r="E260" i="6" s="1"/>
  <c r="E280" i="6"/>
  <c r="D225" i="6"/>
  <c r="D666" i="6"/>
  <c r="E666" i="6"/>
  <c r="D385" i="6"/>
  <c r="D383" i="6" s="1"/>
  <c r="D337" i="6"/>
  <c r="D335" i="6" s="1"/>
  <c r="D19" i="6"/>
  <c r="E714" i="6"/>
  <c r="D714" i="6"/>
  <c r="D708" i="6"/>
  <c r="E708" i="6"/>
  <c r="E706" i="6" s="1"/>
  <c r="E696" i="6"/>
  <c r="D682" i="6"/>
  <c r="E93" i="6"/>
  <c r="D657" i="6"/>
  <c r="D655" i="6" s="1"/>
  <c r="E657" i="6"/>
  <c r="E655" i="6" s="1"/>
  <c r="D103" i="6"/>
  <c r="D147" i="6"/>
  <c r="E147" i="6"/>
  <c r="E103" i="6"/>
  <c r="E206" i="6"/>
  <c r="E9" i="6"/>
  <c r="D216" i="6"/>
  <c r="E19" i="6"/>
  <c r="D42" i="6"/>
  <c r="D326" i="6"/>
  <c r="E42" i="6"/>
  <c r="E326" i="6"/>
  <c r="D650" i="6"/>
  <c r="D648" i="6" s="1"/>
  <c r="D646" i="6" s="1"/>
  <c r="E650" i="6"/>
  <c r="E648" i="6" s="1"/>
  <c r="E646" i="6" s="1"/>
  <c r="D137" i="6"/>
  <c r="D74" i="6"/>
  <c r="E234" i="6"/>
  <c r="E74" i="6"/>
  <c r="D52" i="6"/>
  <c r="E83" i="6"/>
  <c r="E316" i="6"/>
  <c r="D206" i="6"/>
  <c r="D316" i="6"/>
  <c r="E383" i="6"/>
  <c r="D234" i="6"/>
  <c r="D375" i="6"/>
  <c r="D367" i="6"/>
  <c r="D359" i="6"/>
  <c r="E359" i="6"/>
  <c r="D351" i="6"/>
  <c r="D343" i="6"/>
  <c r="E335" i="6"/>
  <c r="D300" i="6"/>
  <c r="E300" i="6"/>
  <c r="D290" i="6"/>
  <c r="E290" i="6"/>
  <c r="D269" i="6"/>
  <c r="D252" i="6"/>
  <c r="E252" i="6"/>
  <c r="D245" i="6"/>
  <c r="E245" i="6"/>
  <c r="E225" i="6"/>
  <c r="E216" i="6"/>
  <c r="D196" i="6"/>
  <c r="E196" i="6"/>
  <c r="D186" i="6"/>
  <c r="E186" i="6"/>
  <c r="D176" i="6"/>
  <c r="E176" i="6"/>
  <c r="D157" i="6"/>
  <c r="E157" i="6"/>
  <c r="D166" i="6"/>
  <c r="E166" i="6"/>
  <c r="E137" i="6"/>
  <c r="D113" i="6"/>
  <c r="E113" i="6"/>
  <c r="D9" i="1"/>
  <c r="E597" i="6" l="1"/>
  <c r="D675" i="6"/>
  <c r="G599" i="6" s="1"/>
  <c r="E677" i="6"/>
  <c r="E675" i="6" s="1"/>
  <c r="H599" i="6" s="1"/>
  <c r="D597" i="6"/>
  <c r="D706" i="6"/>
</calcChain>
</file>

<file path=xl/sharedStrings.xml><?xml version="1.0" encoding="utf-8"?>
<sst xmlns="http://schemas.openxmlformats.org/spreadsheetml/2006/main" count="1843" uniqueCount="957">
  <si>
    <t>Klaipėdos rajono savivaldybės tarybos</t>
  </si>
  <si>
    <t xml:space="preserve"> 2022  METŲ  SAVIVALDYBĖS  BIUDŽETO  PAJAMOS</t>
  </si>
  <si>
    <t>Eil. Nr.</t>
  </si>
  <si>
    <t>Pajamų rūšys</t>
  </si>
  <si>
    <t>Sumos tūkst. eurų</t>
  </si>
  <si>
    <t>1.</t>
  </si>
  <si>
    <t>Mokesčiai</t>
  </si>
  <si>
    <t>1.1.</t>
  </si>
  <si>
    <t>Gyventojų pajamų mokestis</t>
  </si>
  <si>
    <t>1.2.</t>
  </si>
  <si>
    <t>Turto mokesčiai</t>
  </si>
  <si>
    <t>1.2.1.</t>
  </si>
  <si>
    <t>Žemės mokestis</t>
  </si>
  <si>
    <t>1.2.2.</t>
  </si>
  <si>
    <t>Paveldimo  turto mokestis</t>
  </si>
  <si>
    <t>1.2.3.</t>
  </si>
  <si>
    <t>Nekilnojamojo turto mokestis</t>
  </si>
  <si>
    <t>1.3.</t>
  </si>
  <si>
    <t>Prekių ir paslaugų mokesčiai</t>
  </si>
  <si>
    <t>1.3.1.</t>
  </si>
  <si>
    <t>Mokestis už aplinkos teršimą</t>
  </si>
  <si>
    <t>2.</t>
  </si>
  <si>
    <t>Dotacijos iš kitų valdžios sektoriaus subjektų</t>
  </si>
  <si>
    <t>2.1.</t>
  </si>
  <si>
    <t xml:space="preserve">Speciali tikslinė dotacija </t>
  </si>
  <si>
    <t>2.1.1.</t>
  </si>
  <si>
    <t>Valstybinėms (valstybės perduotoms savivaldybėms) funkcijoms atlikti (VBD)</t>
  </si>
  <si>
    <t>2.1.2.</t>
  </si>
  <si>
    <t>Mokymo reikmėms finansuoti (ML)</t>
  </si>
  <si>
    <t>2.2.</t>
  </si>
  <si>
    <t xml:space="preserve">Kita tikslinė dotacija </t>
  </si>
  <si>
    <t>2.2.1.</t>
  </si>
  <si>
    <t>Klasių, skirtų mokiniams, turintiems specialiųjų ugdymosi poreikių, ūkio lėšoms finansuoti (VBD)</t>
  </si>
  <si>
    <t>2.2.2.</t>
  </si>
  <si>
    <t>Iš apskrities perduotai įstaigai finansuoti (VBD)</t>
  </si>
  <si>
    <t>2.3.</t>
  </si>
  <si>
    <t>Kitos dotacijos</t>
  </si>
  <si>
    <t>2.3.1.</t>
  </si>
  <si>
    <t>Vietinės reikšmės keliams (gatvėms) tiesti, taisyti, prižiūrėti ir saugaus eismo sąlygoms užtikrinti (KPPP)</t>
  </si>
  <si>
    <t>2.3.2.</t>
  </si>
  <si>
    <t>Aplinkosauginėms priemonėms pagal dotacijų sutartis (VBD)</t>
  </si>
  <si>
    <t>2.3.3.</t>
  </si>
  <si>
    <t>Akredituotai vaikų dienos socialinei priežiūrai organizuoti, teikti ir administruoti (VBD)</t>
  </si>
  <si>
    <t>2.3.4.</t>
  </si>
  <si>
    <t>Neformaliojo vaikų švietimo programai įgyvendinti (VBD)</t>
  </si>
  <si>
    <t>2.3.5.</t>
  </si>
  <si>
    <t>Vadovaujančių darbuotojų minimaliems pareiginės algos koeficientams padidinti, siekiant pagerinti jų darbo apmokėjimo sąlygas (VBD)</t>
  </si>
  <si>
    <t>2.3.6.</t>
  </si>
  <si>
    <t>2.3.7.</t>
  </si>
  <si>
    <t>Pagal 2014-2020 metų Europos Sąjungos fondų investicijų veiksmų programas įgyvendinamų projektų nuosavam indėliui užtikrinti (VBD)</t>
  </si>
  <si>
    <t>2.3.8.</t>
  </si>
  <si>
    <t>Gyvenamųjų vietovių bendruomenių rėmimo programai įgyvendinti (VBD)</t>
  </si>
  <si>
    <t>2.3.9.</t>
  </si>
  <si>
    <t>2.3.10.</t>
  </si>
  <si>
    <t>Projektams, numatytiems VIP programoje, įgyvendinti (VBD(VIP))</t>
  </si>
  <si>
    <t>2.4.</t>
  </si>
  <si>
    <t>Dotacija savivaldybėms iš Europos Sąjungos, kitos tarptautinės finansinės paramos ir bendrojo finansavimo lėšų</t>
  </si>
  <si>
    <t>Patirtoms išlaidoms, siekiant šalinti COVID-19 ligos padarinius ir valdyti jos plitimą esant valstybės lygio ekstremaliajai situacijai, kompensuoti (VBD)COVID))</t>
  </si>
  <si>
    <t>3.</t>
  </si>
  <si>
    <t>Turto pajamos</t>
  </si>
  <si>
    <t>3.1.</t>
  </si>
  <si>
    <t>Nuomos mokestis už valstybinę žemę ir valstybinio vidaus vandenų fondo vandens telkinius</t>
  </si>
  <si>
    <t>3.2.</t>
  </si>
  <si>
    <t>Mokestis už medžiojamų gyvūnų išteklius</t>
  </si>
  <si>
    <t>3.3.</t>
  </si>
  <si>
    <t>Kiti mokesčiai už valstybinius gamtos išteklius</t>
  </si>
  <si>
    <t>3.4.</t>
  </si>
  <si>
    <t>Angliavandenilių išteklių mokestis</t>
  </si>
  <si>
    <t>3.5.</t>
  </si>
  <si>
    <t>Dividendai</t>
  </si>
  <si>
    <t>4.</t>
  </si>
  <si>
    <t>Pajamos už prekes ir paslaugas</t>
  </si>
  <si>
    <t>4.1.</t>
  </si>
  <si>
    <t>Pajamos už ilgalaikio ir trumpalaikio materialiojo turto nuomą</t>
  </si>
  <si>
    <t>4.2.</t>
  </si>
  <si>
    <t>4.3.</t>
  </si>
  <si>
    <t>Įmokos už išlaikymą švietimo, socialinės apsaugos įstaigose</t>
  </si>
  <si>
    <t>4.4.</t>
  </si>
  <si>
    <t>Valstybės rinkliava</t>
  </si>
  <si>
    <t>4.5.</t>
  </si>
  <si>
    <t>Vietinės rinkliavos</t>
  </si>
  <si>
    <t>Komunalinių atliekų surinkimą iš atliekų turėtojų ir atliekų tvarkymą</t>
  </si>
  <si>
    <t>5.</t>
  </si>
  <si>
    <t>Pajamos iš baudų ir konfiskacijos</t>
  </si>
  <si>
    <t>6.</t>
  </si>
  <si>
    <t>Kitos pajamos</t>
  </si>
  <si>
    <t>7.</t>
  </si>
  <si>
    <t>Materialiojo ir nematerialiojo turto realizavimo pajamos</t>
  </si>
  <si>
    <t>7.1.</t>
  </si>
  <si>
    <t>Pajamos už parduotą žemę</t>
  </si>
  <si>
    <t>9.</t>
  </si>
  <si>
    <t>Iš viso pajamų:</t>
  </si>
  <si>
    <t xml:space="preserve">                                          _______________________</t>
  </si>
  <si>
    <t>tūkst. eurų</t>
  </si>
  <si>
    <t>Iš viso:</t>
  </si>
  <si>
    <t>Gargždų ,,Vaivorykštės" gimnazija</t>
  </si>
  <si>
    <t>Veiviržėnų Jurgio Šaulio gimnazija</t>
  </si>
  <si>
    <t>Endriejavo pagrindinė mokykla</t>
  </si>
  <si>
    <t>Gargždų ,,Kranto" pagrindinė mokykla</t>
  </si>
  <si>
    <t>Gargždų ,,Minijos" progimnazija</t>
  </si>
  <si>
    <t>Agluonėnų pagrindinė mokykla</t>
  </si>
  <si>
    <t>8.</t>
  </si>
  <si>
    <t>Dituvos pagrindinė mokykla</t>
  </si>
  <si>
    <t>Dovilų pagrindinė mokykla</t>
  </si>
  <si>
    <t>10.</t>
  </si>
  <si>
    <t>Ketvergių pagrindinė mokykla</t>
  </si>
  <si>
    <t>11.</t>
  </si>
  <si>
    <t>Kretingalės pagrindinė mokykla</t>
  </si>
  <si>
    <t>12.</t>
  </si>
  <si>
    <t>Lapių pagrindinė mokykla</t>
  </si>
  <si>
    <t>13.</t>
  </si>
  <si>
    <t>Plikių Ievos Labutytės pagrindinė mokykla</t>
  </si>
  <si>
    <t>14.</t>
  </si>
  <si>
    <t>Vėžaičių pagrindinė mokykla</t>
  </si>
  <si>
    <t>15.</t>
  </si>
  <si>
    <t>16.</t>
  </si>
  <si>
    <t>Gargždų lopšelis-darželis ,,Ąžuoliukas"</t>
  </si>
  <si>
    <t>17.</t>
  </si>
  <si>
    <t>Gargždų lopšelis-darželis ,,Gintarėlis"</t>
  </si>
  <si>
    <t>18.</t>
  </si>
  <si>
    <t>Gargždų lopšelis-darželis ,,Saulutė"</t>
  </si>
  <si>
    <t>19.</t>
  </si>
  <si>
    <t>Gargždų lopšelis-darželis ,,Naminukas"</t>
  </si>
  <si>
    <t>20.</t>
  </si>
  <si>
    <t>Priekulės vaikų lopšelis-darželis</t>
  </si>
  <si>
    <t>21.</t>
  </si>
  <si>
    <t>Gargždų muzikos mokykla</t>
  </si>
  <si>
    <t>22.</t>
  </si>
  <si>
    <t>Gargždų vaikų ir jaunimo laisvalaikio centras</t>
  </si>
  <si>
    <t>23.</t>
  </si>
  <si>
    <t>Klaipėdos rajono švietimo centras</t>
  </si>
  <si>
    <t>24.</t>
  </si>
  <si>
    <t>Gargždų atviras jaunimo centras</t>
  </si>
  <si>
    <t>25.</t>
  </si>
  <si>
    <t>Klaipėdos rajono turizmo informacijos centras</t>
  </si>
  <si>
    <t>26.</t>
  </si>
  <si>
    <t>27.</t>
  </si>
  <si>
    <t>28.</t>
  </si>
  <si>
    <t>29.</t>
  </si>
  <si>
    <t>30.</t>
  </si>
  <si>
    <t>Viliaus Gaigalaičio globos namai</t>
  </si>
  <si>
    <t>31.</t>
  </si>
  <si>
    <t>Jono Lankučio viešoji biblioteka</t>
  </si>
  <si>
    <t>32.</t>
  </si>
  <si>
    <t>Gargždų krašto muziejus</t>
  </si>
  <si>
    <t>33.</t>
  </si>
  <si>
    <t>Gargždų kultūros centras</t>
  </si>
  <si>
    <t>34.</t>
  </si>
  <si>
    <t>Dovilų etninės kultūros centras</t>
  </si>
  <si>
    <t>35.</t>
  </si>
  <si>
    <t>Kretingalės kultūros centras</t>
  </si>
  <si>
    <t>36.</t>
  </si>
  <si>
    <t>Priekulės kultūros centras</t>
  </si>
  <si>
    <t>37.</t>
  </si>
  <si>
    <t>Veiviržėnų kultūros centras</t>
  </si>
  <si>
    <t>38.</t>
  </si>
  <si>
    <t>Vėžaičių kultūros centras</t>
  </si>
  <si>
    <t>39.</t>
  </si>
  <si>
    <t>Sporto centras</t>
  </si>
  <si>
    <t>40.</t>
  </si>
  <si>
    <t>Klaipėdos r. sav. priešgaisrinė tarnyba</t>
  </si>
  <si>
    <t>41.</t>
  </si>
  <si>
    <t>Savivaldybės administracija</t>
  </si>
  <si>
    <t>5 priedas</t>
  </si>
  <si>
    <t>2022 METŲ SAVIVALDYBĖS BIUDŽETO ASIGNAVIMAI</t>
  </si>
  <si>
    <t xml:space="preserve">Asignavimų valdytojo pavadinimas, programos numeris ir pavadinimas </t>
  </si>
  <si>
    <t>Funkcinės klasifikacijos kodas</t>
  </si>
  <si>
    <t>iš jų: darbo užmokesčiui</t>
  </si>
  <si>
    <t>Iš jų:</t>
  </si>
  <si>
    <t>1. Žinių visuomenės plėtros programa</t>
  </si>
  <si>
    <t>09.</t>
  </si>
  <si>
    <t>1.1.1.</t>
  </si>
  <si>
    <t>Iš jos: savivaldybės lėšos (SB)</t>
  </si>
  <si>
    <t>1.1.2.</t>
  </si>
  <si>
    <t>speciali tikslinė dotacija mokymo reikmėms finansuoti (ML)</t>
  </si>
  <si>
    <t>1.1.3.</t>
  </si>
  <si>
    <t>kita  dotacija (VBD)</t>
  </si>
  <si>
    <t>1.1.4.</t>
  </si>
  <si>
    <t>lėšos už paslaugas ir nuomą (S)</t>
  </si>
  <si>
    <t>9. Savivaldybės valdymo ir pagrindinių funkcijų vykdymo programa</t>
  </si>
  <si>
    <t xml:space="preserve">Priekulės Ievos Simonaitytės gimnazija </t>
  </si>
  <si>
    <t>2.1.3.</t>
  </si>
  <si>
    <t>klasių, skirtų mokiniams, turintiems specialiųjų ugdymosi poreikių, ūkio lėšos (VBD)</t>
  </si>
  <si>
    <t>2.1.4.</t>
  </si>
  <si>
    <t>2.1.5.</t>
  </si>
  <si>
    <t>3.1.1.</t>
  </si>
  <si>
    <t>3.1.2.</t>
  </si>
  <si>
    <t>3.1.3.</t>
  </si>
  <si>
    <t>kita dotacija (VBD)</t>
  </si>
  <si>
    <t>3.1.4.</t>
  </si>
  <si>
    <t>3.2.1.</t>
  </si>
  <si>
    <t>4.1.1.</t>
  </si>
  <si>
    <t>4.1.2.</t>
  </si>
  <si>
    <t>4.1.3.</t>
  </si>
  <si>
    <t>4.1.4.</t>
  </si>
  <si>
    <t>4.2.1.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</si>
  <si>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</si>
  <si>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</si>
  <si>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</si>
  <si>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</si>
  <si>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</si>
  <si>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</si>
  <si>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</si>
  <si>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</si>
  <si>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6.1.</t>
  </si>
  <si>
    <t>6.1.1.</t>
  </si>
  <si>
    <t>6.1.2.</t>
  </si>
  <si>
    <t>6.1.3.</t>
  </si>
  <si>
    <t>6.1.4.</t>
  </si>
  <si>
    <t>6.2.</t>
  </si>
  <si>
    <t>6.2.1.</t>
  </si>
  <si>
    <t>7.1.1.</t>
  </si>
  <si>
    <t>7.1.2.</t>
  </si>
  <si>
    <t>7.1.3.</t>
  </si>
  <si>
    <t>7.2.</t>
  </si>
  <si>
    <t>7.2.1.</t>
  </si>
  <si>
    <t>8.1.</t>
  </si>
  <si>
    <t>8.1.1.</t>
  </si>
  <si>
    <t>8.1.2.</t>
  </si>
  <si>
    <t>8.1.3.</t>
  </si>
  <si>
    <t>8.1.4.</t>
  </si>
  <si>
    <t>8.2.</t>
  </si>
  <si>
    <t>8.2.1.</t>
  </si>
  <si>
    <t>9.1.</t>
  </si>
  <si>
    <t>9.1.1.</t>
  </si>
  <si>
    <t>9.1.2.</t>
  </si>
  <si>
    <t>9.1.3.</t>
  </si>
  <si>
    <t>9.1.4.</t>
  </si>
  <si>
    <t>9.2.</t>
  </si>
  <si>
    <t>9.2.1.</t>
  </si>
  <si>
    <t>10.1</t>
  </si>
  <si>
    <t>10.1.1.</t>
  </si>
  <si>
    <t>10.1.2.</t>
  </si>
  <si>
    <t>10.1.3.</t>
  </si>
  <si>
    <t>10.1.4.</t>
  </si>
  <si>
    <t>10.2.</t>
  </si>
  <si>
    <t>10.2.1.</t>
  </si>
  <si>
    <t>11.1.</t>
  </si>
  <si>
    <t>11.1.1.</t>
  </si>
  <si>
    <t>11.1.2.</t>
  </si>
  <si>
    <t>11.1.3.</t>
  </si>
  <si>
    <t>11.1.4.</t>
  </si>
  <si>
    <t>11.2.</t>
  </si>
  <si>
    <t>11.2.1.</t>
  </si>
  <si>
    <t>12.1.</t>
  </si>
  <si>
    <t>12.1.1.</t>
  </si>
  <si>
    <t>12.1.2.</t>
  </si>
  <si>
    <t>12.1.3.</t>
  </si>
  <si>
    <t>12.1.4.</t>
  </si>
  <si>
    <t>12.2.</t>
  </si>
  <si>
    <t>5. Socialinės apsaugos ir NVO politikos programa</t>
  </si>
  <si>
    <t>12.2.1.</t>
  </si>
  <si>
    <t>12.2.2.</t>
  </si>
  <si>
    <t>12.3.</t>
  </si>
  <si>
    <t>12.3.1.</t>
  </si>
  <si>
    <t>13.1.</t>
  </si>
  <si>
    <t>13.1.1.</t>
  </si>
  <si>
    <t>13.1.2.</t>
  </si>
  <si>
    <t>13.1.3.</t>
  </si>
  <si>
    <t>13.1.4.</t>
  </si>
  <si>
    <t>13.2.</t>
  </si>
  <si>
    <t>13.2.1.</t>
  </si>
  <si>
    <t>14.1.</t>
  </si>
  <si>
    <t>14.1.1.</t>
  </si>
  <si>
    <t>14.1.2.</t>
  </si>
  <si>
    <t>14.1.3.</t>
  </si>
  <si>
    <t>14.1.4.</t>
  </si>
  <si>
    <t>14.2.</t>
  </si>
  <si>
    <t>14.2.1.</t>
  </si>
  <si>
    <t>Slengių mokykla-daugiafunkcis centras</t>
  </si>
  <si>
    <t>15.1.</t>
  </si>
  <si>
    <t>15.1.1.</t>
  </si>
  <si>
    <t>15.1.2.</t>
  </si>
  <si>
    <t>15.1.3.</t>
  </si>
  <si>
    <t>15.1.4.</t>
  </si>
  <si>
    <t>15.2.</t>
  </si>
  <si>
    <t>15.2.1.</t>
  </si>
  <si>
    <t>16.1.</t>
  </si>
  <si>
    <t>16.1.1.</t>
  </si>
  <si>
    <t>16.1.2.</t>
  </si>
  <si>
    <t>16.1.3.</t>
  </si>
  <si>
    <t>16.1.4.</t>
  </si>
  <si>
    <t>16.2.</t>
  </si>
  <si>
    <t>16.2.1.</t>
  </si>
  <si>
    <t>17.1.</t>
  </si>
  <si>
    <t>17.1.1.</t>
  </si>
  <si>
    <t>17.1.2.</t>
  </si>
  <si>
    <t>17.1.3.</t>
  </si>
  <si>
    <t>17.1.4.</t>
  </si>
  <si>
    <t>17.2.</t>
  </si>
  <si>
    <t>17.2.1.</t>
  </si>
  <si>
    <t>18.1.</t>
  </si>
  <si>
    <t>18.1.1.</t>
  </si>
  <si>
    <t>18.1.2.</t>
  </si>
  <si>
    <t>18.1.3.</t>
  </si>
  <si>
    <t>18.1.4.</t>
  </si>
  <si>
    <t>18.2.</t>
  </si>
  <si>
    <t>18.2.1.</t>
  </si>
  <si>
    <t>19.1.</t>
  </si>
  <si>
    <t>19.1.1.</t>
  </si>
  <si>
    <t>19.1.2.</t>
  </si>
  <si>
    <t>19.1.3.</t>
  </si>
  <si>
    <t>19.1.4.</t>
  </si>
  <si>
    <t>19.2.</t>
  </si>
  <si>
    <t>19.2.1.</t>
  </si>
  <si>
    <t>20.1.</t>
  </si>
  <si>
    <t>20.1.1.</t>
  </si>
  <si>
    <t>20.1.2.</t>
  </si>
  <si>
    <t>20.1.3.</t>
  </si>
  <si>
    <t>20.1.4.</t>
  </si>
  <si>
    <t>20.2.</t>
  </si>
  <si>
    <t>20.2.1.</t>
  </si>
  <si>
    <t>21.1.</t>
  </si>
  <si>
    <t>21.1.1.</t>
  </si>
  <si>
    <t>21.1.2.</t>
  </si>
  <si>
    <t>21.1.3.</t>
  </si>
  <si>
    <t>21.2.</t>
  </si>
  <si>
    <t>21.2.1.</t>
  </si>
  <si>
    <t>22.1.</t>
  </si>
  <si>
    <t>22.1.1.</t>
  </si>
  <si>
    <t>22.1.2.</t>
  </si>
  <si>
    <t>22.1.4.</t>
  </si>
  <si>
    <t>22.2.</t>
  </si>
  <si>
    <t>22.2.1.</t>
  </si>
  <si>
    <t>23.1.</t>
  </si>
  <si>
    <t>23.1.1.</t>
  </si>
  <si>
    <t>23.1.2.</t>
  </si>
  <si>
    <t>23.2.</t>
  </si>
  <si>
    <t>4. Sveikatos apsaugos programa</t>
  </si>
  <si>
    <t>23.2.1.</t>
  </si>
  <si>
    <t>Iš jų: Aplinkos apsaugos rėmimo specialioji programa (AA)</t>
  </si>
  <si>
    <t>23.3.</t>
  </si>
  <si>
    <t>01.</t>
  </si>
  <si>
    <t>23.3.1.</t>
  </si>
  <si>
    <t>Pedagoginė psichologinė tarnyba</t>
  </si>
  <si>
    <t>24.1.</t>
  </si>
  <si>
    <t>24.1.1.</t>
  </si>
  <si>
    <t>24.1.2.</t>
  </si>
  <si>
    <t>24.2.</t>
  </si>
  <si>
    <t>24.2.1.</t>
  </si>
  <si>
    <t>25.1.</t>
  </si>
  <si>
    <t>25.1.1.</t>
  </si>
  <si>
    <t>25.1.2.</t>
  </si>
  <si>
    <t>25.1.3.</t>
  </si>
  <si>
    <t>25.2.</t>
  </si>
  <si>
    <t>25.2.1.</t>
  </si>
  <si>
    <t>26.1.</t>
  </si>
  <si>
    <t>2. Ekonominio konkurencingumo didinimo programa</t>
  </si>
  <si>
    <t>04.</t>
  </si>
  <si>
    <t>26.1.1.</t>
  </si>
  <si>
    <t>26.1.2.</t>
  </si>
  <si>
    <t>Dotacija iš Europos Sąjungos, kitos tarptautinės finansinės paramos ir bendrojo finansavimo lėšos (ES)</t>
  </si>
  <si>
    <t>26.1.3.</t>
  </si>
  <si>
    <t>26.1.4.</t>
  </si>
  <si>
    <t>26.2.</t>
  </si>
  <si>
    <t>26.2.1.</t>
  </si>
  <si>
    <t>Klaipėdos rajono savivaldybės visuomenės sveikatos biuras</t>
  </si>
  <si>
    <t>27.1.</t>
  </si>
  <si>
    <t>07.</t>
  </si>
  <si>
    <t>27.1.1.</t>
  </si>
  <si>
    <t>27.1.2.</t>
  </si>
  <si>
    <t xml:space="preserve"> valstybinėms funkcijoms (VBD)</t>
  </si>
  <si>
    <t>27.1.3.</t>
  </si>
  <si>
    <t>27.1.4.</t>
  </si>
  <si>
    <t>27.1.5.</t>
  </si>
  <si>
    <t>Dotacija savivaldybėms iš Europos Sąjungos, kitos tarptautinės finansinės paramos ir bendrojo finansavimo lėšos (ES,VBES,EEE,EEEVB)</t>
  </si>
  <si>
    <t>27.1.6.</t>
  </si>
  <si>
    <t xml:space="preserve"> Aplinkos apsaugos rėmimo specialioji programa (AA)</t>
  </si>
  <si>
    <t>27.2.</t>
  </si>
  <si>
    <t>27.2.1.</t>
  </si>
  <si>
    <t xml:space="preserve">Gargždų socialinių paslaugų centras </t>
  </si>
  <si>
    <t>28.1.</t>
  </si>
  <si>
    <t>28.1.1.</t>
  </si>
  <si>
    <t>28.1.2.</t>
  </si>
  <si>
    <t>28.1.3.</t>
  </si>
  <si>
    <t>28.2.</t>
  </si>
  <si>
    <t>28.2.1.</t>
  </si>
  <si>
    <t xml:space="preserve">Klaipėdos rajono paramos šeimai centras </t>
  </si>
  <si>
    <t>29.1.</t>
  </si>
  <si>
    <t>29.1.1.</t>
  </si>
  <si>
    <t>29.1.2.</t>
  </si>
  <si>
    <t>29.1.3.</t>
  </si>
  <si>
    <t>29.1.4.</t>
  </si>
  <si>
    <t>29.2.</t>
  </si>
  <si>
    <t>29.2.1.</t>
  </si>
  <si>
    <t xml:space="preserve">Priekulės socialinių paslaugų centras </t>
  </si>
  <si>
    <t>30.1.</t>
  </si>
  <si>
    <t>30.1.1.</t>
  </si>
  <si>
    <t>30.1.2.</t>
  </si>
  <si>
    <t>30.1.3.</t>
  </si>
  <si>
    <t>30.2.</t>
  </si>
  <si>
    <t>30.2.1.</t>
  </si>
  <si>
    <t>31.1.</t>
  </si>
  <si>
    <t>31.1.1.</t>
  </si>
  <si>
    <t>Iš jos: kita tikslinė dotacija  (VBD)</t>
  </si>
  <si>
    <t>31.1.2.</t>
  </si>
  <si>
    <t>savivaldybės lėšos (SB)</t>
  </si>
  <si>
    <t>32.1.</t>
  </si>
  <si>
    <t>7. Kultūros paveldo puoselėjimo ir kultūros paslaugų plėtros programa</t>
  </si>
  <si>
    <t>08.</t>
  </si>
  <si>
    <t>32.1.1.</t>
  </si>
  <si>
    <t>32.1.2.</t>
  </si>
  <si>
    <t>32.1.3.</t>
  </si>
  <si>
    <t>32.1.4.</t>
  </si>
  <si>
    <t>32.2.</t>
  </si>
  <si>
    <t>32.2.1.</t>
  </si>
  <si>
    <t>33.1.</t>
  </si>
  <si>
    <t>33.1.1.</t>
  </si>
  <si>
    <t>33.1.2.</t>
  </si>
  <si>
    <t>33.1.3.</t>
  </si>
  <si>
    <t>33.1.4.</t>
  </si>
  <si>
    <t>Dotacija savivaldybėms iš Europos Sąjungos, kitos tarptautinės finansinės paramos ir bendrojo finansavimo lėšos (ES, VBES)</t>
  </si>
  <si>
    <t>33.2.</t>
  </si>
  <si>
    <t>33.2.1.</t>
  </si>
  <si>
    <t>34.1.</t>
  </si>
  <si>
    <t>34.1.1.</t>
  </si>
  <si>
    <t>34.1.2.</t>
  </si>
  <si>
    <t>34.1.3.</t>
  </si>
  <si>
    <t>34.2.</t>
  </si>
  <si>
    <t>34.2.1.</t>
  </si>
  <si>
    <t>35.1.</t>
  </si>
  <si>
    <t>35.1.1.</t>
  </si>
  <si>
    <t>35.1.2.</t>
  </si>
  <si>
    <t>35.1.3.</t>
  </si>
  <si>
    <t>35.2.</t>
  </si>
  <si>
    <t>35.2.1.</t>
  </si>
  <si>
    <t>36.1.</t>
  </si>
  <si>
    <t>36.1.1.</t>
  </si>
  <si>
    <t>36.1.2.</t>
  </si>
  <si>
    <t>36.1.3.</t>
  </si>
  <si>
    <t>36.2.</t>
  </si>
  <si>
    <t>37.1.</t>
  </si>
  <si>
    <t>37.1.1.</t>
  </si>
  <si>
    <t>37.1.2.</t>
  </si>
  <si>
    <t>37.1.3.</t>
  </si>
  <si>
    <t>37.2.</t>
  </si>
  <si>
    <t>37.2.1.</t>
  </si>
  <si>
    <t>38.1.</t>
  </si>
  <si>
    <t>38.1.1.</t>
  </si>
  <si>
    <t>38.1.2.</t>
  </si>
  <si>
    <t>38.1.3.</t>
  </si>
  <si>
    <t>38.2.</t>
  </si>
  <si>
    <t>38.2.1.</t>
  </si>
  <si>
    <t>39.1.</t>
  </si>
  <si>
    <t>39.1.1.</t>
  </si>
  <si>
    <t>39.1.2.</t>
  </si>
  <si>
    <t>39.1.3.</t>
  </si>
  <si>
    <t>39.2.</t>
  </si>
  <si>
    <t>39.2.1.</t>
  </si>
  <si>
    <t>40.1.</t>
  </si>
  <si>
    <t>8. Kūno kultūros ir sporto plėtros programa</t>
  </si>
  <si>
    <t>40.1.1.</t>
  </si>
  <si>
    <t>40.1.2.</t>
  </si>
  <si>
    <t>40.1.3.</t>
  </si>
  <si>
    <t>40.2.</t>
  </si>
  <si>
    <t>40.2.1.</t>
  </si>
  <si>
    <t>41.1.</t>
  </si>
  <si>
    <t>03.</t>
  </si>
  <si>
    <t>41.1.1.</t>
  </si>
  <si>
    <t>valstybinei funkcijai (VBD)</t>
  </si>
  <si>
    <t>42.</t>
  </si>
  <si>
    <t>Kontrolės ir audito tarnyba</t>
  </si>
  <si>
    <t>42.1.</t>
  </si>
  <si>
    <t>42.1.1.</t>
  </si>
  <si>
    <t>43.</t>
  </si>
  <si>
    <t>43.1.</t>
  </si>
  <si>
    <t>43.1.1.</t>
  </si>
  <si>
    <t>43.1.2.</t>
  </si>
  <si>
    <t>43.1.3.</t>
  </si>
  <si>
    <t>43.1.4.</t>
  </si>
  <si>
    <t>Dotacija savivaldybėms iš Europos Sąjungos, kitos tarptautinės finansinės paramos ir bendrojo finansavimo lėšos (ES, VBES))</t>
  </si>
  <si>
    <t>43.2.</t>
  </si>
  <si>
    <t>43.2.1.</t>
  </si>
  <si>
    <t>43.2.1.1.</t>
  </si>
  <si>
    <t>Priekulės seniūnija</t>
  </si>
  <si>
    <t>43.3.</t>
  </si>
  <si>
    <t>3. Aplinkos apsaugos programa</t>
  </si>
  <si>
    <t>05.</t>
  </si>
  <si>
    <t>Iš jos:</t>
  </si>
  <si>
    <t>43.3.1.</t>
  </si>
  <si>
    <t>Aplinkos apsaugos rėmimo specialioji programa (AA)</t>
  </si>
  <si>
    <t>43.3.2.</t>
  </si>
  <si>
    <t>43.3.2.1.</t>
  </si>
  <si>
    <t>Agluonėnų seniūnija</t>
  </si>
  <si>
    <t>43.3.2.2.</t>
  </si>
  <si>
    <t>Dauparų-Kvietinių seniūnija</t>
  </si>
  <si>
    <t>43.3.2.3.</t>
  </si>
  <si>
    <t>Dovilų seniūnija</t>
  </si>
  <si>
    <t>43.3.2.4.</t>
  </si>
  <si>
    <t>Endriejavo seniūnija</t>
  </si>
  <si>
    <t>43.3.2.5.</t>
  </si>
  <si>
    <t>Gargždų seniūnija</t>
  </si>
  <si>
    <t>43.3.2.6.</t>
  </si>
  <si>
    <t>Judrėnų seniūnija</t>
  </si>
  <si>
    <t>43.3.2.7.</t>
  </si>
  <si>
    <t>Kretingalės seniūnija</t>
  </si>
  <si>
    <t>43.3.2.8.</t>
  </si>
  <si>
    <t>43.3.2.9.</t>
  </si>
  <si>
    <t>Sendvario seniūnija</t>
  </si>
  <si>
    <t>43.3.2.10.</t>
  </si>
  <si>
    <t>Veiviržėnų seniūnija</t>
  </si>
  <si>
    <t>43.3.2.11.</t>
  </si>
  <si>
    <t>Vėžaičių seniūnija</t>
  </si>
  <si>
    <t>43.3.3.</t>
  </si>
  <si>
    <t>43.3.3.1.</t>
  </si>
  <si>
    <t>43.3.4.</t>
  </si>
  <si>
    <t>43.3.6.</t>
  </si>
  <si>
    <t>Komunalinių atliekų surinkimo ir tvarkymo priemonių finansavimas (GŠV)</t>
  </si>
  <si>
    <t>43.3.7.</t>
  </si>
  <si>
    <t>lėšos už parduotą žemę (Ž)</t>
  </si>
  <si>
    <t>43.4.</t>
  </si>
  <si>
    <t>43.4.1.</t>
  </si>
  <si>
    <t>Iš jų: savivaldybės lėšos (SB)</t>
  </si>
  <si>
    <t>43.4.2.</t>
  </si>
  <si>
    <t>43.4.3.</t>
  </si>
  <si>
    <t>43.5.</t>
  </si>
  <si>
    <t>43.5.1.</t>
  </si>
  <si>
    <t>43.5.2.</t>
  </si>
  <si>
    <t>43.5.3.</t>
  </si>
  <si>
    <t>43.5.4.</t>
  </si>
  <si>
    <t>43.5.5.</t>
  </si>
  <si>
    <t>43.5.6.</t>
  </si>
  <si>
    <t>43.5.7.</t>
  </si>
  <si>
    <t>43.5.8.</t>
  </si>
  <si>
    <t>Dotacija Klaipėdos rajono savivaldybės gyvenamųjų vietovių bendruomenių rėmimo programai įgyvendinti (VBD)</t>
  </si>
  <si>
    <t>43.6.</t>
  </si>
  <si>
    <t>6. Susisiekimo ir inžinerinės infrastruktūros plėtros programa</t>
  </si>
  <si>
    <t>43.6.1.</t>
  </si>
  <si>
    <t>43.6.1.1.</t>
  </si>
  <si>
    <t>43.6.1.2.</t>
  </si>
  <si>
    <t>43.6.1.3.</t>
  </si>
  <si>
    <t>43.6.1.4.</t>
  </si>
  <si>
    <t>43.6.1.5.</t>
  </si>
  <si>
    <t>43.6.1.6.</t>
  </si>
  <si>
    <t>43.6.1.7.</t>
  </si>
  <si>
    <t>43.6.1.8.</t>
  </si>
  <si>
    <t>43.6.1.9.</t>
  </si>
  <si>
    <t>43.6.1.10.</t>
  </si>
  <si>
    <t>43.6.1.11.</t>
  </si>
  <si>
    <t>43.6.2.</t>
  </si>
  <si>
    <t>06.</t>
  </si>
  <si>
    <t>43.6.2.1.</t>
  </si>
  <si>
    <t>43.6.2.2.</t>
  </si>
  <si>
    <t>43.6.2.3.</t>
  </si>
  <si>
    <t>43.6.2.4.</t>
  </si>
  <si>
    <t>43.6.2.5.</t>
  </si>
  <si>
    <t>43.6.2.6.</t>
  </si>
  <si>
    <t>43.6.2.7.</t>
  </si>
  <si>
    <t>43.6.2.8.</t>
  </si>
  <si>
    <t>43.6.2.9.</t>
  </si>
  <si>
    <t>43.6.2.10.</t>
  </si>
  <si>
    <t>43.6.2.11.</t>
  </si>
  <si>
    <t>43.6.3.</t>
  </si>
  <si>
    <t>valstybės biudžeto dotacija vietinės reikšmės keliams (gatvėms) tiesti, taisyti, prižiūrėti ir saugaus eismo sąlygoms užtikrinti (KPPP)</t>
  </si>
  <si>
    <t>43.6.4.</t>
  </si>
  <si>
    <t>43.6.5.</t>
  </si>
  <si>
    <t>43.6.6.</t>
  </si>
  <si>
    <t>43.6.7.</t>
  </si>
  <si>
    <t>43.7.</t>
  </si>
  <si>
    <t>43.7.1.</t>
  </si>
  <si>
    <t>43.7.1.1.</t>
  </si>
  <si>
    <t>43.7.2.</t>
  </si>
  <si>
    <t>43.7.3.</t>
  </si>
  <si>
    <t>Dotacija Valstyvės investicijų programos lėšomis finansuojamam projektui įgyvendinti (VBD(VIP))</t>
  </si>
  <si>
    <t>43.8.</t>
  </si>
  <si>
    <t>43.8.1.</t>
  </si>
  <si>
    <t>43.8.2.</t>
  </si>
  <si>
    <t>43.9.</t>
  </si>
  <si>
    <t>43.9.1.</t>
  </si>
  <si>
    <t>43.9.1.1.</t>
  </si>
  <si>
    <t>Savivaldybės taryba (SB)</t>
  </si>
  <si>
    <t>43.9.1.2.</t>
  </si>
  <si>
    <t>43.9.1.2.1.</t>
  </si>
  <si>
    <t>43.9.1.2.1.1.</t>
  </si>
  <si>
    <t>43.9.1.2.1.2.</t>
  </si>
  <si>
    <t>43.9.1.2.1.3.</t>
  </si>
  <si>
    <t>43.9.1.2.1.4.</t>
  </si>
  <si>
    <t>43.9.1.2.1.5.</t>
  </si>
  <si>
    <t>43.9.1.2.1.6.</t>
  </si>
  <si>
    <t>43.9.1.2.1.7.</t>
  </si>
  <si>
    <t>43.9.1.2.1.8.</t>
  </si>
  <si>
    <t>43.9.1.2.1.9.</t>
  </si>
  <si>
    <t>43.9.1.2.1.10.</t>
  </si>
  <si>
    <t>43.9.1.2.1.11.</t>
  </si>
  <si>
    <t>43.9.1.2.2.</t>
  </si>
  <si>
    <t xml:space="preserve">  valstybinėms funkcijoms (VBD)</t>
  </si>
  <si>
    <t>43.9.1.2.2.1.</t>
  </si>
  <si>
    <t>43.9.1.2.2.2.</t>
  </si>
  <si>
    <t>43.9.1.2.2.3.</t>
  </si>
  <si>
    <t>43.9.1.2.2.4.</t>
  </si>
  <si>
    <t>43.9.1.2.2.5.</t>
  </si>
  <si>
    <t>43.9.1.2.2.6.</t>
  </si>
  <si>
    <t>43.9.1.2.2.7.</t>
  </si>
  <si>
    <t>43.9.1.2.2.8.</t>
  </si>
  <si>
    <t>43.9.1.2.3.</t>
  </si>
  <si>
    <t>43.9.1.2.3.1.</t>
  </si>
  <si>
    <t>43.9.1.2.3.2.</t>
  </si>
  <si>
    <t>43.9.1.2.3.3.</t>
  </si>
  <si>
    <t>43.9.1.2.3.4.</t>
  </si>
  <si>
    <t>43.9.2.</t>
  </si>
  <si>
    <t>02.</t>
  </si>
  <si>
    <t>43.9.2.1.</t>
  </si>
  <si>
    <t>43.9.2.2.</t>
  </si>
  <si>
    <t>43.9.3.</t>
  </si>
  <si>
    <t>43.9.4.</t>
  </si>
  <si>
    <t>43.9.4.1.</t>
  </si>
  <si>
    <t>43.9.4.2.</t>
  </si>
  <si>
    <t>43.9.4.2.1.</t>
  </si>
  <si>
    <t>43.9.4.2.2.</t>
  </si>
  <si>
    <t>43.9.4.2.3.</t>
  </si>
  <si>
    <t>43.9.4.2.4.</t>
  </si>
  <si>
    <t>43.9.4.2.5.</t>
  </si>
  <si>
    <t>43.9.4.2.6.</t>
  </si>
  <si>
    <t>43.9.4.2.7.</t>
  </si>
  <si>
    <t>43.9.5.</t>
  </si>
  <si>
    <t>43.9.6.</t>
  </si>
  <si>
    <t>43.9.7.</t>
  </si>
  <si>
    <t>43.9.8.</t>
  </si>
  <si>
    <t>43.9.9.</t>
  </si>
  <si>
    <t>43.9.10.</t>
  </si>
  <si>
    <t>43.9.10.1.</t>
  </si>
  <si>
    <t>43.9.10.2.</t>
  </si>
  <si>
    <t>43.9.11.</t>
  </si>
  <si>
    <t>43.9.11.1.</t>
  </si>
  <si>
    <t>43.9.11.1.1.</t>
  </si>
  <si>
    <t>43.9.11.1.2.</t>
  </si>
  <si>
    <t>43.9.11.1.3.</t>
  </si>
  <si>
    <t>43.9.11.1.4.</t>
  </si>
  <si>
    <t>43.9.11.1.5.</t>
  </si>
  <si>
    <t>43.9.11.1.6.</t>
  </si>
  <si>
    <t>43.9.11.1.7.</t>
  </si>
  <si>
    <t>43.9.11.1.8.</t>
  </si>
  <si>
    <t>43.9.11.1.9.</t>
  </si>
  <si>
    <t>43.9.11.1.10.</t>
  </si>
  <si>
    <t>43.9.11.1.11.</t>
  </si>
  <si>
    <t>43.9.11.2.</t>
  </si>
  <si>
    <t>43.9.11.3.</t>
  </si>
  <si>
    <t>Dotacija akredituotai vaikų dienos socialinei priežiūrai organizuoti, teikti ir administruoti (VBD)</t>
  </si>
  <si>
    <t>43.9.12.</t>
  </si>
  <si>
    <t>Savivaldybės administracijos direktoriaus rezervas (SB)</t>
  </si>
  <si>
    <t>44.</t>
  </si>
  <si>
    <t>IŠ VISO:</t>
  </si>
  <si>
    <t>44.1.</t>
  </si>
  <si>
    <t>44.2.</t>
  </si>
  <si>
    <t>44.3.</t>
  </si>
  <si>
    <t>44.4.</t>
  </si>
  <si>
    <t>valstybės dotacija iš apskrities perduotoms įstaigoms (VBD)</t>
  </si>
  <si>
    <t>44.5.</t>
  </si>
  <si>
    <t>44.6.</t>
  </si>
  <si>
    <t>dotacija neformaliojo vaikų švietimo programai įgyvendinti (VBD)</t>
  </si>
  <si>
    <t>44.7.</t>
  </si>
  <si>
    <t>44.8.</t>
  </si>
  <si>
    <t>Valstybės biudžeto dotacija pagal 2014-2020 metų ES fondų investicijų veiksmų programas įgyvendinamų projektų nuosavam indėliui užtikrinti (VBD)</t>
  </si>
  <si>
    <t>44.9.</t>
  </si>
  <si>
    <t>44.10.</t>
  </si>
  <si>
    <t>44.11.</t>
  </si>
  <si>
    <t>44.12.</t>
  </si>
  <si>
    <t>Dotacija savivaldybėms iš Europos Sąjungos, kitos tarptautinės finansinės paramos ir bendrojo finansavimo lėšos (ES, VBES,EEE,EEEVB)</t>
  </si>
  <si>
    <t>44.13.</t>
  </si>
  <si>
    <t>44.14.</t>
  </si>
  <si>
    <t>44.15.</t>
  </si>
  <si>
    <t>44.18.</t>
  </si>
  <si>
    <t>45.</t>
  </si>
  <si>
    <t>45.1.</t>
  </si>
  <si>
    <t>45.2.</t>
  </si>
  <si>
    <t>45.3.</t>
  </si>
  <si>
    <t>45.4.</t>
  </si>
  <si>
    <t>45.5.</t>
  </si>
  <si>
    <t>45.6.</t>
  </si>
  <si>
    <t>45.7.</t>
  </si>
  <si>
    <t>46.</t>
  </si>
  <si>
    <t>46.1.</t>
  </si>
  <si>
    <t>46.1.1.</t>
  </si>
  <si>
    <t>46.1.2.</t>
  </si>
  <si>
    <t>46.1.3.</t>
  </si>
  <si>
    <t>46.1.4.</t>
  </si>
  <si>
    <t>46.1.5.</t>
  </si>
  <si>
    <t>47.</t>
  </si>
  <si>
    <t>47.1.</t>
  </si>
  <si>
    <t>47.1.1.</t>
  </si>
  <si>
    <t xml:space="preserve"> savivaldybės lėšos (SB)</t>
  </si>
  <si>
    <t>47.1.2.</t>
  </si>
  <si>
    <t>47.1.3.</t>
  </si>
  <si>
    <t>47.1.4.</t>
  </si>
  <si>
    <t>47.1.5.</t>
  </si>
  <si>
    <t>47.1.6.</t>
  </si>
  <si>
    <t>47.1.7.</t>
  </si>
  <si>
    <t>48.</t>
  </si>
  <si>
    <t>48.1.</t>
  </si>
  <si>
    <t>48.2.</t>
  </si>
  <si>
    <t>48.3.</t>
  </si>
  <si>
    <t>48.4.</t>
  </si>
  <si>
    <t>48.5.</t>
  </si>
  <si>
    <t>Dotacija savivaldybėms iš Europos Sąjungos, kitos tarptautinės finansinės paramos ir bendrojo finansavimo lėšos (ES, VBES,EEE, EEEVB)</t>
  </si>
  <si>
    <t>48.6.</t>
  </si>
  <si>
    <t>49.</t>
  </si>
  <si>
    <t>49.1.</t>
  </si>
  <si>
    <t>49.1.1.</t>
  </si>
  <si>
    <t>49.1.2.</t>
  </si>
  <si>
    <t>49.1.3.</t>
  </si>
  <si>
    <t>49.1.4.</t>
  </si>
  <si>
    <t>49.1.5.</t>
  </si>
  <si>
    <t>49.1.6.</t>
  </si>
  <si>
    <t>49.1.7.</t>
  </si>
  <si>
    <t>49.1.8.</t>
  </si>
  <si>
    <t>49.1.9.</t>
  </si>
  <si>
    <t>49.1.10.</t>
  </si>
  <si>
    <t>50.</t>
  </si>
  <si>
    <t>50.1.</t>
  </si>
  <si>
    <t>50.2.</t>
  </si>
  <si>
    <t>50.3.</t>
  </si>
  <si>
    <t>50.4.</t>
  </si>
  <si>
    <t>50.5.</t>
  </si>
  <si>
    <t>Dotacija savivaldybėms iš Europos Sąjungos, kitos tarptautinės finansinės paramos ir bendrojo finansavimo lėšos (ES,VBES)</t>
  </si>
  <si>
    <t>50.6</t>
  </si>
  <si>
    <t>50.7.</t>
  </si>
  <si>
    <t>51.</t>
  </si>
  <si>
    <t>51.1.</t>
  </si>
  <si>
    <t>51.2.</t>
  </si>
  <si>
    <t>51.3.</t>
  </si>
  <si>
    <t>51.5.</t>
  </si>
  <si>
    <t>51.6.</t>
  </si>
  <si>
    <t>52.</t>
  </si>
  <si>
    <t>52.1.</t>
  </si>
  <si>
    <t>52.2.</t>
  </si>
  <si>
    <t>52.3.</t>
  </si>
  <si>
    <t>52.4.</t>
  </si>
  <si>
    <t>53.</t>
  </si>
  <si>
    <t>53.1.</t>
  </si>
  <si>
    <t>53.1.1.</t>
  </si>
  <si>
    <t>53.1.2.</t>
  </si>
  <si>
    <t>53.1.2.1.</t>
  </si>
  <si>
    <t>53.1.2.2.</t>
  </si>
  <si>
    <t>53.1.2.3.</t>
  </si>
  <si>
    <t>53.1.3.</t>
  </si>
  <si>
    <t>53.2.</t>
  </si>
  <si>
    <t>53.2.1.</t>
  </si>
  <si>
    <t>53.2.2.</t>
  </si>
  <si>
    <t>53.3.</t>
  </si>
  <si>
    <t>53.3.1.</t>
  </si>
  <si>
    <t>53.3.2.</t>
  </si>
  <si>
    <t>53.3.3.</t>
  </si>
  <si>
    <t>53.4.</t>
  </si>
  <si>
    <t>53.4.1.</t>
  </si>
  <si>
    <t>53.4.2.</t>
  </si>
  <si>
    <t>53.4.3.</t>
  </si>
  <si>
    <t>53.5.</t>
  </si>
  <si>
    <t>53.6.</t>
  </si>
  <si>
    <t>53.7.</t>
  </si>
  <si>
    <t>53.8.</t>
  </si>
  <si>
    <t>53.9.</t>
  </si>
  <si>
    <t>53.9.1.</t>
  </si>
  <si>
    <t>53.9.2.</t>
  </si>
  <si>
    <t>53.10.</t>
  </si>
  <si>
    <t>53.10.1.</t>
  </si>
  <si>
    <t>53.10.2.</t>
  </si>
  <si>
    <t>53.10.3.</t>
  </si>
  <si>
    <t>53.12.</t>
  </si>
  <si>
    <t xml:space="preserve">                                                       ________________</t>
  </si>
  <si>
    <t>dotaija neformaliojo vaikų švietimo programai įgyvendinti (VBD)</t>
  </si>
  <si>
    <t>Aplikosauginėms priemonėms pagal dotacijų sutartis (VBD)</t>
  </si>
  <si>
    <t>Dotacija piniginės socialinės paramos nepasiturintiems gyventojams įstatymui įgyvendinti dėl padidėjusių išlaidų būsto šildymo išlaidų kompensacijoms teikti (VBD)</t>
  </si>
  <si>
    <t>Piniginės socialinės paramos nepasiturintiems gyventojams įstatymui įgyvendinti dėl padidėjusių išlaidų būsto šildymo išlaidų kompensacijoms teikti (VBD)</t>
  </si>
  <si>
    <t>43.7.1.2.</t>
  </si>
  <si>
    <t>Dotacija savivaldybių viešosioms bibliotekoms dokumentams 2022 metais įsigyti (VBD)</t>
  </si>
  <si>
    <t>Savivaldybių viešosioms bibliotekoms dokumentams 2022 metais įsigyti (VBD)</t>
  </si>
  <si>
    <t>51.4.</t>
  </si>
  <si>
    <t>44.16.</t>
  </si>
  <si>
    <t>44.17.</t>
  </si>
  <si>
    <t>Dotacija savivaldybėms iš Europos Sąjungos, kitos tarptautinės finansinės paramos ir bendrojo finansavimo lėšos (ES, VBES, EEE, EEEVB)</t>
  </si>
  <si>
    <t>41.1.2.</t>
  </si>
  <si>
    <t>41.1.3.</t>
  </si>
  <si>
    <t>43.2.1.2.</t>
  </si>
  <si>
    <t>43.2.1.3.</t>
  </si>
  <si>
    <t>2.3.11.</t>
  </si>
  <si>
    <t>Dotacija patirtoms išlaidoms, siekiant šalinti COVID-19 ligos padarinius ir valdyti jos plitimą esant valstybės lygio ekstremaliajai situacijai, kompensuoti (VBD)COVID))</t>
  </si>
  <si>
    <t>43.4.4.</t>
  </si>
  <si>
    <t>48.7.</t>
  </si>
  <si>
    <t>Kontrolės ir audito tarnyba (SB)</t>
  </si>
  <si>
    <t>Projekto "Klaipėdos rajono biudžetinių įstaigų apskaitos optimizavimas" įgyvendinimas</t>
  </si>
  <si>
    <t>44.19.</t>
  </si>
  <si>
    <t>44.20.</t>
  </si>
  <si>
    <t>44.21.</t>
  </si>
  <si>
    <t>43.1.5.</t>
  </si>
  <si>
    <t>43.9.13.</t>
  </si>
  <si>
    <t>Paskolų palūkanų grąžinimas (SB)</t>
  </si>
  <si>
    <t>53.11.</t>
  </si>
  <si>
    <t>2.3.12.</t>
  </si>
  <si>
    <t>Pedagoginių darbuotojų, išlaikomų iš savivaldybių biudžetų lėšų, darbo užmokesčiui didinti</t>
  </si>
  <si>
    <t>22.1.5.</t>
  </si>
  <si>
    <t>2.3.13.</t>
  </si>
  <si>
    <t>Asmeninei pagalbai teikti ir administruoti</t>
  </si>
  <si>
    <t>43.5.9.</t>
  </si>
  <si>
    <t>44.22.</t>
  </si>
  <si>
    <t>43.9.11.4.</t>
  </si>
  <si>
    <t>Dotacija asmeninei pagalbai teikti ir administruoti</t>
  </si>
  <si>
    <t>Dotacija asmeninei pagalbai teikti ir administruoti (VBD)</t>
  </si>
  <si>
    <t>53.10.4.</t>
  </si>
  <si>
    <t>1 priedas</t>
  </si>
  <si>
    <t>2.3.14.</t>
  </si>
  <si>
    <t>Būstams pritaikyti neįgaliesiems</t>
  </si>
  <si>
    <t>2.3.15.</t>
  </si>
  <si>
    <t>Socialinės reabilitacijos paslaugų neįgaliesiems teikimo bendruomenėje projektams finansuoti ir administruoti</t>
  </si>
  <si>
    <t>2.3.16.</t>
  </si>
  <si>
    <t>Socialinių paslaugų srities darbuotojų minimaliesiems pareiginės algos pastoviosios dalies koeficientams didinti</t>
  </si>
  <si>
    <t>2.3.17.</t>
  </si>
  <si>
    <t xml:space="preserve">Socialinių paslaugų šakos kolektyvinėje sutartyje nustatytiems įsipareigojimams įgyvendinti  </t>
  </si>
  <si>
    <t>3.6.</t>
  </si>
  <si>
    <t>Želdinių atkuriamosios vertės kompensacija</t>
  </si>
  <si>
    <t>12.2.3.</t>
  </si>
  <si>
    <t>Dotacija socialinių paslaugų srities darbuotojų minimaliesiems pareiginės algos pastoviosios dalies koeficientams didinti (VBD)</t>
  </si>
  <si>
    <t>28.1.4.</t>
  </si>
  <si>
    <t>28.1.5.</t>
  </si>
  <si>
    <t>29.1.5.</t>
  </si>
  <si>
    <t>30.1.4.</t>
  </si>
  <si>
    <t>30.1.5.</t>
  </si>
  <si>
    <t>30.1.6.</t>
  </si>
  <si>
    <t xml:space="preserve">Dotacija socialinių paslaugų šakos kolektyvinėje sutartyje nustatytiems įsipareigojimams įgyvendinti (VBD) </t>
  </si>
  <si>
    <t>32.2.2.</t>
  </si>
  <si>
    <t>40.2.2.</t>
  </si>
  <si>
    <t>43.5.10.</t>
  </si>
  <si>
    <t>43.5.11.</t>
  </si>
  <si>
    <t>Dotacija būstams pritaikyti neįgaliesiems (VBD)</t>
  </si>
  <si>
    <t>Dotacija socialinės reabilitacijos paslaugų neįgaliesiems teikimo bendruomenėje projektams finansuoti ir administruoti (VBD)</t>
  </si>
  <si>
    <t>43.9.11.5.</t>
  </si>
  <si>
    <t>43.9.11.6.</t>
  </si>
  <si>
    <t>43.9.1.2.4.</t>
  </si>
  <si>
    <t>44.23.</t>
  </si>
  <si>
    <t>44.24.</t>
  </si>
  <si>
    <t>44.25.</t>
  </si>
  <si>
    <t>44.26.</t>
  </si>
  <si>
    <t>23.3.2.</t>
  </si>
  <si>
    <t>49.1.11.</t>
  </si>
  <si>
    <t>49.1.12.</t>
  </si>
  <si>
    <t>49.1.13.</t>
  </si>
  <si>
    <t>49.1.14.</t>
  </si>
  <si>
    <t>53.1.2.4.</t>
  </si>
  <si>
    <t>53.1.4.</t>
  </si>
  <si>
    <t>53.1.4.1.</t>
  </si>
  <si>
    <t>53.1.4.2.</t>
  </si>
  <si>
    <t>53.10.5.</t>
  </si>
  <si>
    <t>53.10.6.</t>
  </si>
  <si>
    <t>3.3.1.</t>
  </si>
  <si>
    <t>40.3.</t>
  </si>
  <si>
    <t>40.3.1.</t>
  </si>
  <si>
    <t>49.1.15.</t>
  </si>
  <si>
    <t>6.2.2.</t>
  </si>
  <si>
    <t>21.1.4.</t>
  </si>
  <si>
    <t>36.2.1.</t>
  </si>
  <si>
    <t>43.3.5.</t>
  </si>
  <si>
    <t>2022 m. sausio 27 d. sprendimo Nr. T11-38</t>
  </si>
  <si>
    <t>43.2.2.</t>
  </si>
  <si>
    <t>43.2.3.</t>
  </si>
  <si>
    <t>2.3.18.</t>
  </si>
  <si>
    <t>2.3.19.</t>
  </si>
  <si>
    <t>Bendrojo ugdymo mokyklų tinklo stiprinimo iniciatyvoms skatinti</t>
  </si>
  <si>
    <t>Išlaidoms, susijusioms su mokyklų mokytojų, dirbančių pagal ikimokyklinio, priešmokyklinio, bendrojo ugdymo programas, personalo optimizavimu ir atnaujinimu, apmokėti</t>
  </si>
  <si>
    <t>43.1.6.</t>
  </si>
  <si>
    <t>43.1.7.</t>
  </si>
  <si>
    <t>Dotacija bendrojo ugdymo mokyklų tinklo stiprinimo iniciatyvoms skatinti (VBD)</t>
  </si>
  <si>
    <t>Dotacija išlaidoms, susijusioms su mokyklų mokytojų, dirbančių pagal ikimokyklinio, priešmokyklinio, bendrojo ugdymo programas, personalo optimizavimu ir atnaujinimu, apmokėti (VBD)</t>
  </si>
  <si>
    <t>44.27.</t>
  </si>
  <si>
    <t>44.28.</t>
  </si>
  <si>
    <t>45.8</t>
  </si>
  <si>
    <t>45.9.</t>
  </si>
  <si>
    <t>2.3.20.</t>
  </si>
  <si>
    <t>Vaikų, atvykusių į LR iš Ukrainos dėl Rusijos Federacijos karinių veiksmų Ukrainoje, ugdymui ir pavėžėjimui į mokyklą ir atgal (VBD(UK))</t>
  </si>
  <si>
    <t>2.3.21.</t>
  </si>
  <si>
    <t>Suaugusių asmenų, atvykusių į LR iš Ukrainos dėl Rusijos Federacijos karinių veiksmų Ukrainoje, lietuvių kalbos mokymui (VBD(UK))</t>
  </si>
  <si>
    <t>2.3.22.</t>
  </si>
  <si>
    <t>Infrastruktūros plėtros įmokų lėšos</t>
  </si>
  <si>
    <t>4.6.</t>
  </si>
  <si>
    <t>Kompensacijų už būsto suteikimą užsieniečiams atvykusių į LR iš Ukrainos dėl Rusijos Federacijos karinių veiksmų Ukrainoje administravimas (VBD(UK))</t>
  </si>
  <si>
    <t>4.6.1.</t>
  </si>
  <si>
    <t>3 priedas</t>
  </si>
  <si>
    <t xml:space="preserve">2022 METŲ IŠ SAVIVALDYBĖS BIUDŽETO IŠLAIKOMŲ ĮSTAIGŲ PLANUOJAMŲ PAJAMŲ ĮMOKOS Į SAVIVALDYBĖS BIUDŽETĄ </t>
  </si>
  <si>
    <t>Įstaigos pavadinimas</t>
  </si>
  <si>
    <t>Įmokos už išlaikymą švietimo, socialinės apsaugos ir kitose įstaigose</t>
  </si>
  <si>
    <t>Priekulės Ievos Simonaitytės gimnazija</t>
  </si>
  <si>
    <t>Slengių mokykla - daugiafunkcis centras</t>
  </si>
  <si>
    <t>Klaipėdos r. savivaldybės visuomenės sveikatos biuras</t>
  </si>
  <si>
    <t>Gargždų socialinių paslaugų centras</t>
  </si>
  <si>
    <t>Klaipėdos r. paramos šeimai centras</t>
  </si>
  <si>
    <t>Priekulės socialinių paslaugų centras</t>
  </si>
  <si>
    <t>IŠ VISO PAJAMŲ:</t>
  </si>
  <si>
    <t>4 priedas</t>
  </si>
  <si>
    <t xml:space="preserve">2022 METŲ SPECIALI TIKSLINĖ DOTACIJA VALSTYBINĖMS (VALSTYBĖS PERDUOTOMS SAVIVALDYBĖMS) FUNKCIJOMS VYKDYTI </t>
  </si>
  <si>
    <t>Gyv. registro tvarkymas ir duomenų valstybės registrui teikimas</t>
  </si>
  <si>
    <t>Civilinės būklės aktų registravimas</t>
  </si>
  <si>
    <t>Civilinės saugos organizavimas</t>
  </si>
  <si>
    <t>Priešgaisrinės saugos organizavimas</t>
  </si>
  <si>
    <t>Socialinėms išmokoms ir kompensacijoms skaičiuoti ir mokėti</t>
  </si>
  <si>
    <t>Valstybinės kalbos vartojimo ir taisyklingumo kontrolė</t>
  </si>
  <si>
    <t>Žemės ūkio funkcijoms atlikti</t>
  </si>
  <si>
    <t>Melioracijai (išlaidoms)</t>
  </si>
  <si>
    <t>Savivaldybei priskirtai valstybinei žemei ir kitam valstybiniam turtui valdyti, naudoti ir disponuoti juo patikėjimo teise</t>
  </si>
  <si>
    <t>Archy-vinių dokumentų tvarkymas</t>
  </si>
  <si>
    <t>Dalyvavimas rengiant ir vykdant mobilizaciją, demobilizaciją, priimančiosios šalies paramą</t>
  </si>
  <si>
    <t>Jaunimo teisių apsaugai</t>
  </si>
  <si>
    <t>Valstybės garantuojamos pirminės teisinės pagalbos teikimas</t>
  </si>
  <si>
    <t>Gyvenamosios vietos deklaravimas</t>
  </si>
  <si>
    <t>Duomenų teikimas Valstybės suteiktos pagalbos registrui</t>
  </si>
  <si>
    <t>Socialinei paramai mokiniams</t>
  </si>
  <si>
    <t>Socialinėms paslaugoms</t>
  </si>
  <si>
    <t>Mokinių visuomenės sveikatos priežiūrai švietimo įstaigose, visuomenės seikatos stiprinimui ir stebėsenai</t>
  </si>
  <si>
    <t>Plėtoti visuomenės psichikos
sveikatos paslaugų
prieinamumą bei ankstyvojo
savižudybių atpažinimo ir
kompleksinės pagalbos
teikimo sistemą</t>
  </si>
  <si>
    <t>Būsto nuomos ar išperkamosios būsto nuomos mokesčių dalies kompensacijoms</t>
  </si>
  <si>
    <t>Neveiksnių asmenų būklės peržiūrėjimas</t>
  </si>
  <si>
    <t>Savivaldybių patvirtintoms užimtumo didinimo programoms įgyvendinti</t>
  </si>
  <si>
    <t>Savivaldybės erdvinių duomenų rinkinio tvarkymas</t>
  </si>
  <si>
    <t>Koordinuotai teikiamų paslaugų vaikams nuo gimimo iki 18 metų (turint didelių ir labai didelių specialiųjų ugdymosi poreikių - iki 21 metų) ir vaiko atstovams koordinavimui finansuoti</t>
  </si>
  <si>
    <t>Klaipėdos r. savivaldybės administracija</t>
  </si>
  <si>
    <t>Klaipėdos r. savivaldybės priešgaisrinė tarnyba</t>
  </si>
  <si>
    <t>Klaipėdos rajono paramos šeimai centras</t>
  </si>
  <si>
    <t>1.1.5.</t>
  </si>
  <si>
    <t>vaikų, atvykusių į LR iš Ukrainos dėl Rusijos Federacijos karinių veiksmų Ukrainoje, ugdymui ir pavėžėjimui į mokyklą ir atgal (VBD(UK))</t>
  </si>
  <si>
    <t>2.1.6.</t>
  </si>
  <si>
    <t>3.1.5.</t>
  </si>
  <si>
    <t>5.1.6.</t>
  </si>
  <si>
    <t>6.1.5.</t>
  </si>
  <si>
    <t>9.1.5.</t>
  </si>
  <si>
    <t>10.1.5.</t>
  </si>
  <si>
    <t>11.1.5.</t>
  </si>
  <si>
    <t>13.1.5.</t>
  </si>
  <si>
    <t>14.1.5.</t>
  </si>
  <si>
    <t>17.1.5.</t>
  </si>
  <si>
    <t>18.1.5.</t>
  </si>
  <si>
    <t>19.1.5.</t>
  </si>
  <si>
    <t>20.1.5.</t>
  </si>
  <si>
    <t>23.1.3.</t>
  </si>
  <si>
    <t>suaugusių asmenų, atvykusių į LR iš Ukrainos dėl Rusijos Federacijos karinių veiksmų Ukrainoje, lietuvių kalbos mokymui (VBD(UK))</t>
  </si>
  <si>
    <t>43.1.8.</t>
  </si>
  <si>
    <t>43.5.12.</t>
  </si>
  <si>
    <t>43.6.8.</t>
  </si>
  <si>
    <t>50.8.</t>
  </si>
  <si>
    <t>43.9.11.7.</t>
  </si>
  <si>
    <t>Kompensacijos už būsto suteikimą užsieniečiams atvykusių į LR iš Ukrainos dėl Rusijos Federacijos karinių veiksmų Ukrainoje (VBD(UK))</t>
  </si>
  <si>
    <t>44.29.</t>
  </si>
  <si>
    <t>44.30.</t>
  </si>
  <si>
    <t>44.31.</t>
  </si>
  <si>
    <t>45.10.</t>
  </si>
  <si>
    <t>45.11.</t>
  </si>
  <si>
    <t>49.1.16.</t>
  </si>
  <si>
    <t>53.10.7.</t>
  </si>
  <si>
    <t>7.1.4.</t>
  </si>
  <si>
    <t>8.1.5.</t>
  </si>
  <si>
    <t>12.1.5.</t>
  </si>
  <si>
    <t>16.1.5.</t>
  </si>
  <si>
    <t>Dotacija Piniginės socialinės paramos nepasiturintiems gyventojams įstatymui įgyvendinti dėl valstybės remiamų pajamų dydžio padidinimo (VBD)</t>
  </si>
  <si>
    <t>2.3.23.</t>
  </si>
  <si>
    <t>(2022 m. liepos 5 d. sprendimo Nr. T11-      redakcija)</t>
  </si>
  <si>
    <t>(2022 m. liepos 5 d. sprendimo Nr. T11-     redakcija)</t>
  </si>
  <si>
    <t>(2022 m. liepos 5 d. sprendimo Nr. T11-       redakcija)</t>
  </si>
  <si>
    <t>4.1.5.</t>
  </si>
  <si>
    <t>43.5.13.</t>
  </si>
  <si>
    <t>44.32.</t>
  </si>
  <si>
    <t>49.1.17.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</si>
</sst>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000"/>
    <numFmt numFmtId="166" formatCode="0.000"/>
    <numFmt numFmtId="167" formatCode="0.0"/>
    <numFmt numFmtId="168" formatCode="#,##0.0000"/>
  </numFmts>
  <fonts count="2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</font>
    <font>
      <b/>
      <sz val="9"/>
      <name val="Arial"/>
      <family val="2"/>
      <charset val="186"/>
    </font>
    <font>
      <sz val="9"/>
      <color rgb="FF444444"/>
      <name val="Calibri"/>
      <family val="2"/>
      <charset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b/>
      <sz val="9"/>
      <name val="Arial"/>
      <family val="2"/>
      <charset val="204"/>
    </font>
    <font>
      <sz val="9"/>
      <color theme="1"/>
      <name val="Times New Roman"/>
      <family val="1"/>
      <charset val="186"/>
    </font>
    <font>
      <i/>
      <sz val="9"/>
      <color rgb="FF444444"/>
      <name val="Calibri"/>
      <family val="2"/>
      <charset val="1"/>
    </font>
    <font>
      <sz val="9"/>
      <color rgb="FF444444"/>
      <name val="Times New Roman"/>
      <family val="1"/>
      <charset val="186"/>
    </font>
    <font>
      <b/>
      <sz val="10"/>
      <name val="Arial"/>
      <family val="2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11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10"/>
      <name val="Times New Roman Baltic"/>
      <charset val="186"/>
    </font>
    <font>
      <sz val="7"/>
      <name val="Times New Roman Baltic"/>
      <family val="1"/>
      <charset val="186"/>
    </font>
    <font>
      <sz val="7"/>
      <name val="Arial"/>
      <family val="2"/>
      <charset val="186"/>
    </font>
    <font>
      <sz val="7"/>
      <name val="Times New Roman Baltic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3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4" fillId="0" borderId="1" xfId="0" applyFont="1" applyBorder="1"/>
    <xf numFmtId="164" fontId="4" fillId="0" borderId="1" xfId="0" applyNumberFormat="1" applyFont="1" applyBorder="1"/>
    <xf numFmtId="166" fontId="0" fillId="0" borderId="0" xfId="0" applyNumberFormat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2" borderId="4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/>
    </xf>
    <xf numFmtId="0" fontId="2" fillId="0" borderId="0" xfId="0" applyFont="1"/>
    <xf numFmtId="164" fontId="1" fillId="0" borderId="0" xfId="0" applyNumberFormat="1" applyFont="1"/>
    <xf numFmtId="0" fontId="6" fillId="0" borderId="0" xfId="0" applyFont="1"/>
    <xf numFmtId="164" fontId="9" fillId="0" borderId="0" xfId="0" applyNumberFormat="1" applyFont="1"/>
    <xf numFmtId="0" fontId="12" fillId="2" borderId="7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right" wrapText="1"/>
    </xf>
    <xf numFmtId="0" fontId="12" fillId="2" borderId="7" xfId="0" applyFont="1" applyFill="1" applyBorder="1"/>
    <xf numFmtId="0" fontId="12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center"/>
    </xf>
    <xf numFmtId="0" fontId="12" fillId="2" borderId="7" xfId="0" applyFont="1" applyFill="1" applyBorder="1" applyAlignment="1">
      <alignment vertical="center"/>
    </xf>
    <xf numFmtId="0" fontId="12" fillId="0" borderId="7" xfId="0" applyFont="1" applyBorder="1" applyAlignment="1">
      <alignment horizontal="right" vertical="center" wrapText="1"/>
    </xf>
    <xf numFmtId="0" fontId="12" fillId="0" borderId="12" xfId="0" applyFont="1" applyBorder="1"/>
    <xf numFmtId="0" fontId="12" fillId="0" borderId="12" xfId="0" applyFont="1" applyBorder="1" applyAlignment="1">
      <alignment horizontal="right" wrapText="1"/>
    </xf>
    <xf numFmtId="0" fontId="12" fillId="0" borderId="7" xfId="0" applyFont="1" applyBorder="1" applyAlignment="1">
      <alignment horizontal="center"/>
    </xf>
    <xf numFmtId="0" fontId="13" fillId="0" borderId="7" xfId="0" applyFont="1" applyBorder="1"/>
    <xf numFmtId="0" fontId="12" fillId="0" borderId="7" xfId="0" applyFont="1" applyBorder="1" applyAlignment="1">
      <alignment horizontal="right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horizontal="right" wrapText="1"/>
    </xf>
    <xf numFmtId="0" fontId="12" fillId="0" borderId="7" xfId="0" applyFont="1" applyBorder="1" applyAlignment="1">
      <alignment vertical="center"/>
    </xf>
    <xf numFmtId="0" fontId="13" fillId="0" borderId="7" xfId="0" applyFont="1" applyBorder="1" applyAlignment="1">
      <alignment horizontal="center"/>
    </xf>
    <xf numFmtId="0" fontId="12" fillId="0" borderId="0" xfId="0" applyFont="1"/>
    <xf numFmtId="0" fontId="12" fillId="0" borderId="9" xfId="0" applyFont="1" applyBorder="1"/>
    <xf numFmtId="0" fontId="13" fillId="0" borderId="7" xfId="0" applyFont="1" applyBorder="1" applyAlignment="1">
      <alignment wrapText="1"/>
    </xf>
    <xf numFmtId="0" fontId="12" fillId="0" borderId="7" xfId="0" applyFont="1" applyBorder="1"/>
    <xf numFmtId="0" fontId="13" fillId="0" borderId="7" xfId="0" applyFont="1" applyBorder="1" applyAlignment="1">
      <alignment horizontal="left"/>
    </xf>
    <xf numFmtId="0" fontId="12" fillId="0" borderId="7" xfId="0" applyFont="1" applyBorder="1" applyAlignment="1">
      <alignment horizontal="right" vertical="top" wrapText="1"/>
    </xf>
    <xf numFmtId="0" fontId="13" fillId="0" borderId="7" xfId="0" applyFont="1" applyBorder="1" applyAlignment="1">
      <alignment horizontal="left" vertical="distributed" wrapText="1"/>
    </xf>
    <xf numFmtId="0" fontId="13" fillId="0" borderId="9" xfId="0" applyFont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12" fillId="0" borderId="12" xfId="0" applyFont="1" applyBorder="1" applyAlignment="1">
      <alignment horizontal="right"/>
    </xf>
    <xf numFmtId="0" fontId="12" fillId="0" borderId="7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top" wrapText="1"/>
    </xf>
    <xf numFmtId="0" fontId="11" fillId="0" borderId="7" xfId="0" applyFont="1" applyBorder="1" applyAlignment="1">
      <alignment horizontal="left" vertical="top" wrapText="1"/>
    </xf>
    <xf numFmtId="0" fontId="12" fillId="0" borderId="13" xfId="0" applyFont="1" applyBorder="1"/>
    <xf numFmtId="0" fontId="11" fillId="0" borderId="14" xfId="0" applyFont="1" applyBorder="1" applyAlignment="1">
      <alignment horizontal="left" shrinkToFit="1"/>
    </xf>
    <xf numFmtId="0" fontId="11" fillId="0" borderId="15" xfId="0" applyFont="1" applyBorder="1" applyAlignment="1">
      <alignment horizontal="center" shrinkToFit="1"/>
    </xf>
    <xf numFmtId="0" fontId="12" fillId="0" borderId="17" xfId="0" applyFont="1" applyBorder="1"/>
    <xf numFmtId="0" fontId="12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 shrinkToFit="1"/>
    </xf>
    <xf numFmtId="0" fontId="12" fillId="0" borderId="20" xfId="0" applyFont="1" applyBorder="1"/>
    <xf numFmtId="0" fontId="11" fillId="0" borderId="12" xfId="0" applyFont="1" applyBorder="1" applyAlignment="1">
      <alignment horizontal="center" shrinkToFit="1"/>
    </xf>
    <xf numFmtId="0" fontId="12" fillId="0" borderId="20" xfId="0" applyFont="1" applyBorder="1" applyAlignment="1">
      <alignment vertical="center"/>
    </xf>
    <xf numFmtId="0" fontId="12" fillId="0" borderId="20" xfId="0" applyFont="1" applyBorder="1" applyAlignment="1">
      <alignment vertical="top"/>
    </xf>
    <xf numFmtId="0" fontId="11" fillId="0" borderId="7" xfId="0" applyFont="1" applyBorder="1" applyAlignment="1">
      <alignment horizontal="left" shrinkToFit="1"/>
    </xf>
    <xf numFmtId="0" fontId="12" fillId="0" borderId="9" xfId="0" applyFont="1" applyBorder="1" applyAlignment="1">
      <alignment horizontal="center"/>
    </xf>
    <xf numFmtId="0" fontId="13" fillId="0" borderId="9" xfId="0" applyFont="1" applyBorder="1"/>
    <xf numFmtId="0" fontId="12" fillId="0" borderId="9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167" fontId="12" fillId="0" borderId="12" xfId="0" applyNumberFormat="1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left" wrapText="1"/>
    </xf>
    <xf numFmtId="0" fontId="13" fillId="0" borderId="7" xfId="0" applyFont="1" applyBorder="1" applyAlignment="1">
      <alignment horizontal="center" wrapText="1"/>
    </xf>
    <xf numFmtId="0" fontId="12" fillId="0" borderId="7" xfId="0" applyFont="1" applyBorder="1" applyAlignment="1">
      <alignment vertical="top"/>
    </xf>
    <xf numFmtId="0" fontId="11" fillId="0" borderId="9" xfId="0" applyFont="1" applyBorder="1" applyAlignment="1">
      <alignment horizontal="left" vertical="top" wrapText="1"/>
    </xf>
    <xf numFmtId="0" fontId="12" fillId="2" borderId="7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right"/>
    </xf>
    <xf numFmtId="0" fontId="12" fillId="2" borderId="9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left" vertical="top" wrapText="1"/>
    </xf>
    <xf numFmtId="0" fontId="15" fillId="0" borderId="0" xfId="0" applyFont="1"/>
    <xf numFmtId="0" fontId="15" fillId="2" borderId="0" xfId="0" applyFont="1" applyFill="1"/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 shrinkToFit="1"/>
    </xf>
    <xf numFmtId="0" fontId="15" fillId="2" borderId="6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/>
    </xf>
    <xf numFmtId="164" fontId="15" fillId="0" borderId="0" xfId="0" applyNumberFormat="1" applyFont="1"/>
    <xf numFmtId="0" fontId="16" fillId="0" borderId="0" xfId="0" applyFont="1"/>
    <xf numFmtId="167" fontId="15" fillId="0" borderId="0" xfId="0" applyNumberFormat="1" applyFont="1"/>
    <xf numFmtId="0" fontId="17" fillId="0" borderId="0" xfId="0" applyFont="1"/>
    <xf numFmtId="0" fontId="15" fillId="2" borderId="32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/>
    </xf>
    <xf numFmtId="0" fontId="19" fillId="0" borderId="0" xfId="0" applyFont="1" applyAlignment="1">
      <alignment wrapText="1"/>
    </xf>
    <xf numFmtId="167" fontId="12" fillId="0" borderId="7" xfId="0" applyNumberFormat="1" applyFont="1" applyBorder="1"/>
    <xf numFmtId="167" fontId="12" fillId="0" borderId="9" xfId="0" applyNumberFormat="1" applyFont="1" applyBorder="1"/>
    <xf numFmtId="167" fontId="12" fillId="0" borderId="3" xfId="0" applyNumberFormat="1" applyFont="1" applyBorder="1"/>
    <xf numFmtId="167" fontId="13" fillId="0" borderId="7" xfId="0" applyNumberFormat="1" applyFont="1" applyBorder="1"/>
    <xf numFmtId="0" fontId="12" fillId="0" borderId="0" xfId="0" applyFont="1" applyBorder="1" applyAlignment="1">
      <alignment horizontal="right" wrapTex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wrapText="1"/>
    </xf>
    <xf numFmtId="0" fontId="3" fillId="0" borderId="7" xfId="0" applyFont="1" applyBorder="1"/>
    <xf numFmtId="0" fontId="3" fillId="0" borderId="12" xfId="0" applyFont="1" applyBorder="1" applyAlignment="1">
      <alignment horizontal="right" wrapText="1"/>
    </xf>
    <xf numFmtId="167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9" fillId="0" borderId="31" xfId="0" applyFont="1" applyBorder="1" applyAlignment="1">
      <alignment wrapText="1"/>
    </xf>
    <xf numFmtId="0" fontId="17" fillId="0" borderId="7" xfId="0" applyFont="1" applyBorder="1" applyAlignment="1">
      <alignment horizontal="right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7" xfId="0" applyFont="1" applyBorder="1" applyAlignment="1">
      <alignment horizontal="right"/>
    </xf>
    <xf numFmtId="0" fontId="3" fillId="0" borderId="20" xfId="0" applyFont="1" applyBorder="1" applyAlignment="1">
      <alignment vertical="center"/>
    </xf>
    <xf numFmtId="0" fontId="12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right" vertical="top" wrapText="1"/>
    </xf>
    <xf numFmtId="0" fontId="17" fillId="0" borderId="0" xfId="0" applyFont="1" applyAlignment="1">
      <alignment wrapText="1"/>
    </xf>
    <xf numFmtId="0" fontId="19" fillId="0" borderId="39" xfId="0" applyFont="1" applyBorder="1" applyAlignment="1">
      <alignment wrapText="1"/>
    </xf>
    <xf numFmtId="0" fontId="15" fillId="2" borderId="12" xfId="0" applyFont="1" applyFill="1" applyBorder="1" applyAlignment="1">
      <alignment horizontal="center"/>
    </xf>
    <xf numFmtId="0" fontId="15" fillId="2" borderId="4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center" vertical="top" wrapText="1"/>
    </xf>
    <xf numFmtId="0" fontId="17" fillId="2" borderId="0" xfId="0" applyFont="1" applyFill="1"/>
    <xf numFmtId="0" fontId="19" fillId="0" borderId="4" xfId="0" applyFont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wrapText="1"/>
    </xf>
    <xf numFmtId="0" fontId="17" fillId="2" borderId="0" xfId="0" applyFont="1" applyFill="1" applyAlignment="1">
      <alignment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67" fontId="12" fillId="0" borderId="12" xfId="0" applyNumberFormat="1" applyFont="1" applyFill="1" applyBorder="1"/>
    <xf numFmtId="167" fontId="12" fillId="0" borderId="7" xfId="0" applyNumberFormat="1" applyFont="1" applyFill="1" applyBorder="1"/>
    <xf numFmtId="167" fontId="12" fillId="0" borderId="0" xfId="0" applyNumberFormat="1" applyFont="1" applyFill="1"/>
    <xf numFmtId="164" fontId="12" fillId="0" borderId="12" xfId="0" applyNumberFormat="1" applyFont="1" applyFill="1" applyBorder="1"/>
    <xf numFmtId="0" fontId="3" fillId="0" borderId="7" xfId="0" applyFont="1" applyFill="1" applyBorder="1" applyAlignment="1">
      <alignment vertical="center"/>
    </xf>
    <xf numFmtId="0" fontId="17" fillId="0" borderId="7" xfId="0" applyFont="1" applyFill="1" applyBorder="1" applyAlignment="1">
      <alignment horizontal="right" wrapText="1"/>
    </xf>
    <xf numFmtId="0" fontId="12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right" wrapText="1"/>
    </xf>
    <xf numFmtId="0" fontId="12" fillId="0" borderId="7" xfId="0" applyFont="1" applyFill="1" applyBorder="1" applyAlignment="1">
      <alignment horizontal="center" vertical="top" wrapText="1"/>
    </xf>
    <xf numFmtId="167" fontId="12" fillId="0" borderId="24" xfId="0" applyNumberFormat="1" applyFont="1" applyFill="1" applyBorder="1"/>
    <xf numFmtId="0" fontId="3" fillId="0" borderId="2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horizontal="left" shrinkToFit="1"/>
    </xf>
    <xf numFmtId="167" fontId="12" fillId="0" borderId="35" xfId="0" applyNumberFormat="1" applyFont="1" applyFill="1" applyBorder="1"/>
    <xf numFmtId="0" fontId="3" fillId="0" borderId="7" xfId="0" applyFont="1" applyFill="1" applyBorder="1" applyAlignment="1">
      <alignment horizontal="right" wrapText="1"/>
    </xf>
    <xf numFmtId="0" fontId="12" fillId="0" borderId="9" xfId="0" applyFont="1" applyFill="1" applyBorder="1" applyAlignment="1">
      <alignment horizontal="center" vertical="center"/>
    </xf>
    <xf numFmtId="0" fontId="3" fillId="0" borderId="7" xfId="0" applyFont="1" applyFill="1" applyBorder="1"/>
    <xf numFmtId="167" fontId="12" fillId="0" borderId="9" xfId="0" applyNumberFormat="1" applyFont="1" applyFill="1" applyBorder="1"/>
    <xf numFmtId="0" fontId="13" fillId="0" borderId="0" xfId="0" applyFont="1" applyFill="1" applyAlignment="1">
      <alignment horizontal="center"/>
    </xf>
    <xf numFmtId="2" fontId="12" fillId="0" borderId="7" xfId="0" applyNumberFormat="1" applyFont="1" applyFill="1" applyBorder="1"/>
    <xf numFmtId="0" fontId="11" fillId="0" borderId="7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shrinkToFit="1"/>
    </xf>
    <xf numFmtId="0" fontId="3" fillId="0" borderId="7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167" fontId="12" fillId="0" borderId="4" xfId="0" applyNumberFormat="1" applyFont="1" applyFill="1" applyBorder="1"/>
    <xf numFmtId="0" fontId="3" fillId="0" borderId="9" xfId="0" applyFont="1" applyBorder="1" applyAlignment="1">
      <alignment horizontal="center" vertical="center"/>
    </xf>
    <xf numFmtId="164" fontId="3" fillId="0" borderId="1" xfId="0" applyNumberFormat="1" applyFont="1" applyFill="1" applyBorder="1"/>
    <xf numFmtId="164" fontId="4" fillId="0" borderId="1" xfId="0" applyNumberFormat="1" applyFont="1" applyFill="1" applyBorder="1"/>
    <xf numFmtId="167" fontId="3" fillId="0" borderId="1" xfId="0" applyNumberFormat="1" applyFont="1" applyFill="1" applyBorder="1"/>
    <xf numFmtId="166" fontId="3" fillId="0" borderId="1" xfId="0" applyNumberFormat="1" applyFont="1" applyFill="1" applyBorder="1"/>
    <xf numFmtId="2" fontId="3" fillId="0" borderId="1" xfId="0" applyNumberFormat="1" applyFont="1" applyFill="1" applyBorder="1"/>
    <xf numFmtId="165" fontId="4" fillId="0" borderId="1" xfId="0" applyNumberFormat="1" applyFont="1" applyFill="1" applyBorder="1"/>
    <xf numFmtId="0" fontId="0" fillId="0" borderId="0" xfId="0" applyFill="1"/>
    <xf numFmtId="0" fontId="12" fillId="0" borderId="12" xfId="0" applyFont="1" applyFill="1" applyBorder="1" applyAlignment="1">
      <alignment horizontal="right" wrapText="1"/>
    </xf>
    <xf numFmtId="167" fontId="11" fillId="0" borderId="10" xfId="0" applyNumberFormat="1" applyFont="1" applyFill="1" applyBorder="1"/>
    <xf numFmtId="167" fontId="11" fillId="0" borderId="6" xfId="0" applyNumberFormat="1" applyFont="1" applyFill="1" applyBorder="1"/>
    <xf numFmtId="167" fontId="13" fillId="0" borderId="12" xfId="0" applyNumberFormat="1" applyFont="1" applyFill="1" applyBorder="1"/>
    <xf numFmtId="167" fontId="13" fillId="0" borderId="7" xfId="0" applyNumberFormat="1" applyFont="1" applyFill="1" applyBorder="1"/>
    <xf numFmtId="167" fontId="13" fillId="0" borderId="0" xfId="0" applyNumberFormat="1" applyFont="1" applyFill="1"/>
    <xf numFmtId="167" fontId="12" fillId="0" borderId="31" xfId="0" applyNumberFormat="1" applyFont="1" applyFill="1" applyBorder="1"/>
    <xf numFmtId="167" fontId="12" fillId="0" borderId="28" xfId="0" applyNumberFormat="1" applyFont="1" applyFill="1" applyBorder="1"/>
    <xf numFmtId="167" fontId="11" fillId="0" borderId="12" xfId="0" applyNumberFormat="1" applyFont="1" applyFill="1" applyBorder="1"/>
    <xf numFmtId="167" fontId="11" fillId="0" borderId="7" xfId="0" applyNumberFormat="1" applyFont="1" applyFill="1" applyBorder="1"/>
    <xf numFmtId="167" fontId="3" fillId="0" borderId="7" xfId="0" applyNumberFormat="1" applyFont="1" applyFill="1" applyBorder="1"/>
    <xf numFmtId="167" fontId="12" fillId="0" borderId="3" xfId="0" applyNumberFormat="1" applyFont="1" applyFill="1" applyBorder="1"/>
    <xf numFmtId="167" fontId="11" fillId="0" borderId="0" xfId="0" applyNumberFormat="1" applyFont="1" applyFill="1"/>
    <xf numFmtId="167" fontId="13" fillId="0" borderId="0" xfId="0" applyNumberFormat="1" applyFont="1" applyFill="1" applyBorder="1"/>
    <xf numFmtId="167" fontId="12" fillId="0" borderId="22" xfId="0" applyNumberFormat="1" applyFont="1" applyFill="1" applyBorder="1"/>
    <xf numFmtId="167" fontId="11" fillId="0" borderId="38" xfId="0" applyNumberFormat="1" applyFont="1" applyFill="1" applyBorder="1"/>
    <xf numFmtId="167" fontId="11" fillId="0" borderId="11" xfId="0" applyNumberFormat="1" applyFont="1" applyFill="1" applyBorder="1"/>
    <xf numFmtId="166" fontId="11" fillId="0" borderId="0" xfId="0" applyNumberFormat="1" applyFont="1" applyFill="1" applyBorder="1"/>
    <xf numFmtId="166" fontId="12" fillId="0" borderId="7" xfId="0" applyNumberFormat="1" applyFont="1" applyFill="1" applyBorder="1"/>
    <xf numFmtId="167" fontId="12" fillId="0" borderId="0" xfId="0" applyNumberFormat="1" applyFont="1" applyFill="1" applyBorder="1"/>
    <xf numFmtId="2" fontId="11" fillId="0" borderId="10" xfId="0" applyNumberFormat="1" applyFont="1" applyFill="1" applyBorder="1"/>
    <xf numFmtId="2" fontId="12" fillId="0" borderId="12" xfId="0" applyNumberFormat="1" applyFont="1" applyFill="1" applyBorder="1"/>
    <xf numFmtId="167" fontId="13" fillId="0" borderId="24" xfId="0" applyNumberFormat="1" applyFont="1" applyFill="1" applyBorder="1"/>
    <xf numFmtId="167" fontId="11" fillId="0" borderId="23" xfId="0" applyNumberFormat="1" applyFont="1" applyFill="1" applyBorder="1"/>
    <xf numFmtId="166" fontId="12" fillId="0" borderId="0" xfId="0" applyNumberFormat="1" applyFont="1" applyFill="1" applyBorder="1"/>
    <xf numFmtId="167" fontId="15" fillId="0" borderId="27" xfId="0" applyNumberFormat="1" applyFont="1" applyFill="1" applyBorder="1"/>
    <xf numFmtId="2" fontId="11" fillId="0" borderId="11" xfId="0" applyNumberFormat="1" applyFont="1" applyFill="1" applyBorder="1"/>
    <xf numFmtId="2" fontId="11" fillId="0" borderId="38" xfId="0" applyNumberFormat="1" applyFont="1" applyFill="1" applyBorder="1"/>
    <xf numFmtId="2" fontId="13" fillId="0" borderId="0" xfId="0" applyNumberFormat="1" applyFont="1" applyFill="1"/>
    <xf numFmtId="2" fontId="13" fillId="0" borderId="7" xfId="0" applyNumberFormat="1" applyFont="1" applyFill="1" applyBorder="1"/>
    <xf numFmtId="2" fontId="12" fillId="0" borderId="0" xfId="0" applyNumberFormat="1" applyFont="1" applyFill="1"/>
    <xf numFmtId="167" fontId="12" fillId="0" borderId="5" xfId="0" applyNumberFormat="1" applyFont="1" applyFill="1" applyBorder="1"/>
    <xf numFmtId="2" fontId="13" fillId="0" borderId="12" xfId="0" applyNumberFormat="1" applyFont="1" applyFill="1" applyBorder="1"/>
    <xf numFmtId="166" fontId="11" fillId="0" borderId="10" xfId="0" applyNumberFormat="1" applyFont="1" applyFill="1" applyBorder="1"/>
    <xf numFmtId="166" fontId="11" fillId="0" borderId="38" xfId="0" applyNumberFormat="1" applyFont="1" applyFill="1" applyBorder="1"/>
    <xf numFmtId="166" fontId="13" fillId="0" borderId="12" xfId="0" applyNumberFormat="1" applyFont="1" applyFill="1" applyBorder="1"/>
    <xf numFmtId="166" fontId="13" fillId="0" borderId="7" xfId="0" applyNumberFormat="1" applyFont="1" applyFill="1" applyBorder="1"/>
    <xf numFmtId="166" fontId="12" fillId="0" borderId="12" xfId="0" applyNumberFormat="1" applyFont="1" applyFill="1" applyBorder="1"/>
    <xf numFmtId="167" fontId="12" fillId="0" borderId="25" xfId="0" applyNumberFormat="1" applyFont="1" applyFill="1" applyBorder="1"/>
    <xf numFmtId="166" fontId="11" fillId="0" borderId="12" xfId="0" applyNumberFormat="1" applyFont="1" applyFill="1" applyBorder="1"/>
    <xf numFmtId="167" fontId="13" fillId="0" borderId="30" xfId="0" applyNumberFormat="1" applyFont="1" applyFill="1" applyBorder="1"/>
    <xf numFmtId="164" fontId="12" fillId="0" borderId="24" xfId="0" applyNumberFormat="1" applyFont="1" applyFill="1" applyBorder="1" applyAlignment="1">
      <alignment horizontal="right"/>
    </xf>
    <xf numFmtId="164" fontId="12" fillId="0" borderId="7" xfId="0" applyNumberFormat="1" applyFont="1" applyFill="1" applyBorder="1"/>
    <xf numFmtId="164" fontId="12" fillId="0" borderId="29" xfId="0" applyNumberFormat="1" applyFont="1" applyFill="1" applyBorder="1" applyAlignment="1">
      <alignment horizontal="right"/>
    </xf>
    <xf numFmtId="164" fontId="12" fillId="0" borderId="30" xfId="0" applyNumberFormat="1" applyFont="1" applyFill="1" applyBorder="1"/>
    <xf numFmtId="164" fontId="3" fillId="0" borderId="30" xfId="0" applyNumberFormat="1" applyFont="1" applyFill="1" applyBorder="1"/>
    <xf numFmtId="1" fontId="12" fillId="0" borderId="12" xfId="0" applyNumberFormat="1" applyFont="1" applyFill="1" applyBorder="1"/>
    <xf numFmtId="1" fontId="12" fillId="0" borderId="24" xfId="0" applyNumberFormat="1" applyFont="1" applyFill="1" applyBorder="1"/>
    <xf numFmtId="166" fontId="12" fillId="0" borderId="24" xfId="0" applyNumberFormat="1" applyFont="1" applyFill="1" applyBorder="1"/>
    <xf numFmtId="167" fontId="12" fillId="0" borderId="24" xfId="0" applyNumberFormat="1" applyFont="1" applyFill="1" applyBorder="1" applyAlignment="1">
      <alignment wrapText="1"/>
    </xf>
    <xf numFmtId="167" fontId="12" fillId="0" borderId="18" xfId="0" applyNumberFormat="1" applyFont="1" applyFill="1" applyBorder="1"/>
    <xf numFmtId="167" fontId="12" fillId="0" borderId="34" xfId="0" applyNumberFormat="1" applyFont="1" applyFill="1" applyBorder="1"/>
    <xf numFmtId="167" fontId="13" fillId="0" borderId="9" xfId="0" applyNumberFormat="1" applyFont="1" applyFill="1" applyBorder="1"/>
    <xf numFmtId="166" fontId="12" fillId="0" borderId="9" xfId="0" applyNumberFormat="1" applyFont="1" applyFill="1" applyBorder="1"/>
    <xf numFmtId="0" fontId="3" fillId="0" borderId="12" xfId="0" applyFont="1" applyFill="1" applyBorder="1"/>
    <xf numFmtId="0" fontId="12" fillId="0" borderId="9" xfId="0" applyFont="1" applyFill="1" applyBorder="1" applyAlignment="1">
      <alignment horizontal="center" vertical="top" wrapText="1"/>
    </xf>
    <xf numFmtId="166" fontId="12" fillId="0" borderId="9" xfId="0" applyNumberFormat="1" applyFont="1" applyBorder="1"/>
    <xf numFmtId="0" fontId="12" fillId="0" borderId="7" xfId="0" applyFont="1" applyFill="1" applyBorder="1" applyAlignment="1">
      <alignment vertical="center"/>
    </xf>
    <xf numFmtId="166" fontId="12" fillId="0" borderId="35" xfId="0" applyNumberFormat="1" applyFont="1" applyFill="1" applyBorder="1"/>
    <xf numFmtId="0" fontId="3" fillId="0" borderId="12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166" fontId="13" fillId="0" borderId="30" xfId="0" applyNumberFormat="1" applyFont="1" applyFill="1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13" fillId="0" borderId="9" xfId="0" applyFont="1" applyFill="1" applyBorder="1" applyAlignment="1">
      <alignment horizontal="center"/>
    </xf>
    <xf numFmtId="165" fontId="3" fillId="0" borderId="30" xfId="0" applyNumberFormat="1" applyFont="1" applyFill="1" applyBorder="1"/>
    <xf numFmtId="0" fontId="12" fillId="0" borderId="7" xfId="0" applyFont="1" applyFill="1" applyBorder="1" applyAlignment="1">
      <alignment horizontal="right" wrapText="1"/>
    </xf>
    <xf numFmtId="4" fontId="3" fillId="0" borderId="30" xfId="0" applyNumberFormat="1" applyFont="1" applyFill="1" applyBorder="1"/>
    <xf numFmtId="0" fontId="3" fillId="0" borderId="12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left" shrinkToFit="1"/>
    </xf>
    <xf numFmtId="0" fontId="11" fillId="0" borderId="37" xfId="0" applyFont="1" applyFill="1" applyBorder="1" applyAlignment="1">
      <alignment horizontal="left" shrinkToFit="1"/>
    </xf>
    <xf numFmtId="0" fontId="12" fillId="0" borderId="7" xfId="0" applyFont="1" applyFill="1" applyBorder="1" applyAlignment="1">
      <alignment horizontal="right" vertical="top" wrapText="1"/>
    </xf>
    <xf numFmtId="0" fontId="12" fillId="0" borderId="9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wrapText="1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0" fillId="2" borderId="1" xfId="0" applyFill="1" applyBorder="1" applyAlignment="1">
      <alignment vertical="center" wrapText="1" shrinkToFit="1"/>
    </xf>
    <xf numFmtId="0" fontId="0" fillId="2" borderId="1" xfId="0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8" fillId="2" borderId="1" xfId="0" applyFont="1" applyFill="1" applyBorder="1"/>
    <xf numFmtId="164" fontId="6" fillId="0" borderId="1" xfId="0" applyNumberFormat="1" applyFont="1" applyBorder="1"/>
    <xf numFmtId="0" fontId="6" fillId="0" borderId="1" xfId="0" applyFont="1" applyBorder="1"/>
    <xf numFmtId="167" fontId="6" fillId="0" borderId="1" xfId="0" applyNumberFormat="1" applyFont="1" applyBorder="1"/>
    <xf numFmtId="0" fontId="0" fillId="0" borderId="1" xfId="0" applyBorder="1"/>
    <xf numFmtId="0" fontId="1" fillId="2" borderId="1" xfId="0" applyFont="1" applyFill="1" applyBorder="1"/>
    <xf numFmtId="164" fontId="0" fillId="0" borderId="0" xfId="0" applyNumberFormat="1"/>
    <xf numFmtId="0" fontId="6" fillId="2" borderId="1" xfId="0" applyFont="1" applyFill="1" applyBorder="1"/>
    <xf numFmtId="3" fontId="6" fillId="0" borderId="1" xfId="0" applyNumberFormat="1" applyFont="1" applyBorder="1"/>
    <xf numFmtId="0" fontId="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wrapText="1"/>
    </xf>
    <xf numFmtId="4" fontId="6" fillId="0" borderId="1" xfId="0" applyNumberFormat="1" applyFont="1" applyBorder="1"/>
    <xf numFmtId="0" fontId="20" fillId="2" borderId="1" xfId="0" applyFont="1" applyFill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6" xfId="0" applyFont="1" applyBorder="1" applyAlignment="1">
      <alignment vertical="center" wrapText="1"/>
    </xf>
    <xf numFmtId="167" fontId="26" fillId="0" borderId="6" xfId="0" applyNumberFormat="1" applyFont="1" applyBorder="1" applyAlignment="1">
      <alignment horizontal="right" wrapText="1"/>
    </xf>
    <xf numFmtId="0" fontId="26" fillId="0" borderId="6" xfId="0" applyFont="1" applyBorder="1" applyAlignment="1">
      <alignment horizontal="right" wrapText="1"/>
    </xf>
    <xf numFmtId="166" fontId="26" fillId="0" borderId="6" xfId="0" applyNumberFormat="1" applyFont="1" applyBorder="1" applyAlignment="1">
      <alignment horizontal="right" wrapText="1"/>
    </xf>
    <xf numFmtId="0" fontId="28" fillId="0" borderId="6" xfId="0" applyFont="1" applyBorder="1" applyAlignment="1">
      <alignment horizontal="right" wrapText="1"/>
    </xf>
    <xf numFmtId="167" fontId="26" fillId="0" borderId="1" xfId="0" applyNumberFormat="1" applyFont="1" applyBorder="1" applyAlignment="1">
      <alignment horizontal="right" wrapText="1"/>
    </xf>
    <xf numFmtId="0" fontId="26" fillId="0" borderId="1" xfId="0" applyFont="1" applyBorder="1" applyAlignment="1">
      <alignment horizontal="right" wrapText="1"/>
    </xf>
    <xf numFmtId="166" fontId="26" fillId="0" borderId="1" xfId="0" applyNumberFormat="1" applyFont="1" applyBorder="1" applyAlignment="1">
      <alignment horizontal="right" wrapText="1"/>
    </xf>
    <xf numFmtId="0" fontId="27" fillId="2" borderId="6" xfId="0" applyFont="1" applyFill="1" applyBorder="1" applyAlignment="1">
      <alignment vertical="center" wrapText="1"/>
    </xf>
    <xf numFmtId="164" fontId="26" fillId="2" borderId="1" xfId="0" applyNumberFormat="1" applyFont="1" applyFill="1" applyBorder="1"/>
    <xf numFmtId="164" fontId="26" fillId="0" borderId="1" xfId="0" applyNumberFormat="1" applyFont="1" applyBorder="1"/>
    <xf numFmtId="165" fontId="26" fillId="0" borderId="1" xfId="0" applyNumberFormat="1" applyFont="1" applyBorder="1"/>
    <xf numFmtId="164" fontId="28" fillId="0" borderId="1" xfId="0" applyNumberFormat="1" applyFont="1" applyBorder="1"/>
    <xf numFmtId="167" fontId="26" fillId="0" borderId="1" xfId="0" applyNumberFormat="1" applyFont="1" applyBorder="1"/>
    <xf numFmtId="0" fontId="27" fillId="0" borderId="6" xfId="0" applyFont="1" applyBorder="1" applyAlignment="1">
      <alignment vertical="top" wrapText="1"/>
    </xf>
    <xf numFmtId="164" fontId="26" fillId="0" borderId="3" xfId="0" applyNumberFormat="1" applyFont="1" applyBorder="1"/>
    <xf numFmtId="3" fontId="26" fillId="0" borderId="3" xfId="0" applyNumberFormat="1" applyFont="1" applyBorder="1"/>
    <xf numFmtId="3" fontId="28" fillId="0" borderId="3" xfId="0" applyNumberFormat="1" applyFont="1" applyBorder="1"/>
    <xf numFmtId="167" fontId="26" fillId="0" borderId="3" xfId="0" applyNumberFormat="1" applyFont="1" applyBorder="1"/>
    <xf numFmtId="0" fontId="28" fillId="0" borderId="1" xfId="0" applyFont="1" applyBorder="1" applyAlignment="1">
      <alignment vertical="center"/>
    </xf>
    <xf numFmtId="4" fontId="26" fillId="0" borderId="1" xfId="0" applyNumberFormat="1" applyFont="1" applyBorder="1"/>
    <xf numFmtId="165" fontId="26" fillId="0" borderId="1" xfId="0" applyNumberFormat="1" applyFont="1" applyBorder="1" applyAlignment="1">
      <alignment horizontal="right" wrapText="1"/>
    </xf>
    <xf numFmtId="166" fontId="21" fillId="0" borderId="0" xfId="0" applyNumberFormat="1" applyFont="1"/>
    <xf numFmtId="0" fontId="21" fillId="0" borderId="43" xfId="0" applyFont="1" applyBorder="1"/>
    <xf numFmtId="164" fontId="0" fillId="0" borderId="1" xfId="0" applyNumberFormat="1" applyBorder="1"/>
    <xf numFmtId="0" fontId="0" fillId="0" borderId="0" xfId="0" applyBorder="1"/>
    <xf numFmtId="166" fontId="11" fillId="0" borderId="6" xfId="0" applyNumberFormat="1" applyFont="1" applyFill="1" applyBorder="1"/>
    <xf numFmtId="166" fontId="11" fillId="0" borderId="7" xfId="0" applyNumberFormat="1" applyFont="1" applyFill="1" applyBorder="1"/>
    <xf numFmtId="166" fontId="11" fillId="0" borderId="40" xfId="0" applyNumberFormat="1" applyFont="1" applyFill="1" applyBorder="1"/>
    <xf numFmtId="166" fontId="11" fillId="0" borderId="11" xfId="0" applyNumberFormat="1" applyFont="1" applyFill="1" applyBorder="1"/>
    <xf numFmtId="166" fontId="13" fillId="0" borderId="0" xfId="0" applyNumberFormat="1" applyFont="1" applyFill="1" applyBorder="1"/>
    <xf numFmtId="166" fontId="11" fillId="0" borderId="0" xfId="0" applyNumberFormat="1" applyFont="1" applyFill="1"/>
    <xf numFmtId="166" fontId="13" fillId="0" borderId="0" xfId="0" applyNumberFormat="1" applyFont="1" applyFill="1"/>
    <xf numFmtId="166" fontId="11" fillId="0" borderId="23" xfId="0" applyNumberFormat="1" applyFont="1" applyFill="1" applyBorder="1"/>
    <xf numFmtId="0" fontId="12" fillId="0" borderId="0" xfId="0" applyFont="1" applyFill="1" applyBorder="1" applyAlignment="1">
      <alignment horizontal="right" wrapText="1"/>
    </xf>
    <xf numFmtId="168" fontId="12" fillId="0" borderId="29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 vertical="center" wrapText="1"/>
    </xf>
    <xf numFmtId="0" fontId="19" fillId="0" borderId="7" xfId="0" applyFont="1" applyBorder="1" applyAlignment="1">
      <alignment horizontal="right" wrapText="1"/>
    </xf>
    <xf numFmtId="0" fontId="11" fillId="0" borderId="26" xfId="0" applyFont="1" applyFill="1" applyBorder="1"/>
    <xf numFmtId="0" fontId="11" fillId="0" borderId="23" xfId="0" applyFont="1" applyFill="1" applyBorder="1"/>
    <xf numFmtId="0" fontId="12" fillId="0" borderId="11" xfId="0" applyFont="1" applyFill="1" applyBorder="1" applyAlignment="1">
      <alignment horizontal="center"/>
    </xf>
    <xf numFmtId="0" fontId="12" fillId="0" borderId="27" xfId="0" applyFont="1" applyFill="1" applyBorder="1"/>
    <xf numFmtId="0" fontId="12" fillId="0" borderId="24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24" xfId="0" applyFont="1" applyFill="1" applyBorder="1"/>
    <xf numFmtId="0" fontId="12" fillId="0" borderId="24" xfId="0" applyFont="1" applyFill="1" applyBorder="1" applyAlignment="1">
      <alignment horizontal="right"/>
    </xf>
    <xf numFmtId="0" fontId="12" fillId="0" borderId="27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right" wrapText="1"/>
    </xf>
    <xf numFmtId="0" fontId="10" fillId="0" borderId="24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center"/>
    </xf>
    <xf numFmtId="0" fontId="12" fillId="0" borderId="24" xfId="0" applyFont="1" applyFill="1" applyBorder="1"/>
    <xf numFmtId="0" fontId="18" fillId="0" borderId="0" xfId="0" applyFont="1" applyFill="1" applyAlignment="1">
      <alignment horizontal="left" wrapText="1"/>
    </xf>
    <xf numFmtId="0" fontId="13" fillId="0" borderId="24" xfId="0" applyFont="1" applyFill="1" applyBorder="1" applyAlignment="1">
      <alignment horizontal="center"/>
    </xf>
    <xf numFmtId="0" fontId="12" fillId="0" borderId="25" xfId="0" applyFont="1" applyFill="1" applyBorder="1"/>
    <xf numFmtId="0" fontId="10" fillId="0" borderId="31" xfId="0" applyFont="1" applyFill="1" applyBorder="1" applyAlignment="1">
      <alignment horizontal="right"/>
    </xf>
    <xf numFmtId="0" fontId="12" fillId="0" borderId="25" xfId="0" applyFont="1" applyFill="1" applyBorder="1" applyAlignment="1">
      <alignment horizontal="center"/>
    </xf>
    <xf numFmtId="0" fontId="11" fillId="0" borderId="27" xfId="0" applyFont="1" applyFill="1" applyBorder="1"/>
    <xf numFmtId="0" fontId="11" fillId="0" borderId="7" xfId="0" applyFont="1" applyFill="1" applyBorder="1"/>
    <xf numFmtId="0" fontId="12" fillId="0" borderId="7" xfId="0" applyFont="1" applyFill="1" applyBorder="1" applyAlignment="1">
      <alignment horizontal="center"/>
    </xf>
    <xf numFmtId="0" fontId="13" fillId="0" borderId="9" xfId="0" applyFont="1" applyFill="1" applyBorder="1"/>
    <xf numFmtId="0" fontId="12" fillId="0" borderId="9" xfId="0" applyFont="1" applyFill="1" applyBorder="1" applyAlignment="1">
      <alignment horizontal="right"/>
    </xf>
    <xf numFmtId="0" fontId="12" fillId="0" borderId="24" xfId="0" applyFont="1" applyFill="1" applyBorder="1" applyAlignment="1">
      <alignment vertical="center"/>
    </xf>
    <xf numFmtId="0" fontId="12" fillId="0" borderId="27" xfId="0" applyFont="1" applyFill="1" applyBorder="1" applyAlignment="1">
      <alignment horizontal="center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/>
    </xf>
    <xf numFmtId="0" fontId="3" fillId="0" borderId="27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/>
    </xf>
    <xf numFmtId="0" fontId="11" fillId="0" borderId="10" xfId="0" applyFont="1" applyFill="1" applyBorder="1"/>
    <xf numFmtId="0" fontId="11" fillId="0" borderId="6" xfId="0" applyFont="1" applyFill="1" applyBorder="1"/>
    <xf numFmtId="0" fontId="11" fillId="0" borderId="11" xfId="0" applyFont="1" applyFill="1" applyBorder="1"/>
    <xf numFmtId="0" fontId="12" fillId="0" borderId="12" xfId="0" applyFont="1" applyFill="1" applyBorder="1"/>
    <xf numFmtId="0" fontId="13" fillId="0" borderId="7" xfId="0" applyFont="1" applyFill="1" applyBorder="1"/>
    <xf numFmtId="0" fontId="12" fillId="0" borderId="7" xfId="0" applyFont="1" applyFill="1" applyBorder="1" applyAlignment="1">
      <alignment horizontal="right"/>
    </xf>
    <xf numFmtId="0" fontId="12" fillId="0" borderId="12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wrapText="1"/>
    </xf>
    <xf numFmtId="0" fontId="13" fillId="0" borderId="7" xfId="0" applyFont="1" applyFill="1" applyBorder="1" applyAlignment="1">
      <alignment horizontal="center"/>
    </xf>
    <xf numFmtId="0" fontId="3" fillId="0" borderId="24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left" wrapText="1"/>
    </xf>
    <xf numFmtId="0" fontId="12" fillId="0" borderId="22" xfId="0" applyFont="1" applyFill="1" applyBorder="1"/>
    <xf numFmtId="0" fontId="12" fillId="0" borderId="28" xfId="0" applyFont="1" applyFill="1" applyBorder="1" applyAlignment="1">
      <alignment horizontal="right"/>
    </xf>
    <xf numFmtId="0" fontId="12" fillId="0" borderId="31" xfId="0" applyFont="1" applyFill="1" applyBorder="1" applyAlignment="1">
      <alignment horizontal="center"/>
    </xf>
    <xf numFmtId="0" fontId="11" fillId="0" borderId="12" xfId="0" applyFont="1" applyFill="1" applyBorder="1"/>
    <xf numFmtId="0" fontId="12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13" fillId="0" borderId="3" xfId="0" applyFont="1" applyFill="1" applyBorder="1" applyAlignment="1">
      <alignment horizontal="center"/>
    </xf>
    <xf numFmtId="0" fontId="11" fillId="0" borderId="0" xfId="0" applyFont="1" applyFill="1"/>
    <xf numFmtId="0" fontId="12" fillId="0" borderId="0" xfId="0" applyFont="1" applyFill="1"/>
    <xf numFmtId="0" fontId="11" fillId="0" borderId="10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/>
    </xf>
    <xf numFmtId="0" fontId="12" fillId="0" borderId="7" xfId="0" applyFont="1" applyFill="1" applyBorder="1"/>
    <xf numFmtId="0" fontId="13" fillId="0" borderId="12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right" vertical="center" wrapText="1"/>
    </xf>
    <xf numFmtId="0" fontId="12" fillId="0" borderId="3" xfId="0" applyFont="1" applyFill="1" applyBorder="1"/>
    <xf numFmtId="0" fontId="11" fillId="0" borderId="10" xfId="0" applyFont="1" applyFill="1" applyBorder="1" applyAlignment="1">
      <alignment vertical="top" wrapText="1"/>
    </xf>
    <xf numFmtId="0" fontId="11" fillId="0" borderId="6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right"/>
    </xf>
    <xf numFmtId="0" fontId="12" fillId="0" borderId="5" xfId="0" applyFont="1" applyFill="1" applyBorder="1"/>
    <xf numFmtId="0" fontId="19" fillId="0" borderId="7" xfId="0" applyFont="1" applyFill="1" applyBorder="1" applyAlignment="1">
      <alignment wrapText="1"/>
    </xf>
    <xf numFmtId="0" fontId="13" fillId="0" borderId="7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 vertical="distributed" wrapText="1"/>
    </xf>
    <xf numFmtId="0" fontId="12" fillId="0" borderId="9" xfId="0" applyFont="1" applyFill="1" applyBorder="1" applyAlignment="1">
      <alignment horizontal="right" vertical="distributed" wrapText="1"/>
    </xf>
    <xf numFmtId="0" fontId="3" fillId="0" borderId="3" xfId="0" applyFont="1" applyFill="1" applyBorder="1" applyAlignment="1">
      <alignment vertical="center"/>
    </xf>
    <xf numFmtId="0" fontId="13" fillId="0" borderId="12" xfId="0" applyFont="1" applyFill="1" applyBorder="1"/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left" wrapText="1"/>
    </xf>
    <xf numFmtId="0" fontId="12" fillId="0" borderId="3" xfId="0" applyFont="1" applyFill="1" applyBorder="1" applyAlignment="1">
      <alignment horizontal="right" wrapText="1"/>
    </xf>
    <xf numFmtId="0" fontId="11" fillId="0" borderId="0" xfId="0" applyFont="1" applyFill="1" applyAlignment="1">
      <alignment horizontal="left"/>
    </xf>
    <xf numFmtId="0" fontId="12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vertical="top"/>
    </xf>
    <xf numFmtId="0" fontId="11" fillId="0" borderId="11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vertical="top" wrapText="1"/>
    </xf>
    <xf numFmtId="0" fontId="12" fillId="0" borderId="9" xfId="0" applyFont="1" applyFill="1" applyBorder="1"/>
    <xf numFmtId="0" fontId="11" fillId="0" borderId="11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 horizontal="right" vertical="top" wrapText="1"/>
    </xf>
    <xf numFmtId="0" fontId="13" fillId="0" borderId="0" xfId="0" applyFont="1" applyFill="1" applyAlignment="1">
      <alignment horizontal="left" vertical="top" wrapText="1"/>
    </xf>
    <xf numFmtId="0" fontId="12" fillId="0" borderId="3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right" wrapText="1"/>
    </xf>
    <xf numFmtId="0" fontId="12" fillId="0" borderId="4" xfId="0" applyFont="1" applyFill="1" applyBorder="1" applyAlignment="1">
      <alignment vertical="center"/>
    </xf>
    <xf numFmtId="0" fontId="12" fillId="0" borderId="0" xfId="0" applyFont="1" applyFill="1" applyBorder="1"/>
    <xf numFmtId="0" fontId="13" fillId="0" borderId="7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right" wrapText="1"/>
    </xf>
    <xf numFmtId="0" fontId="13" fillId="0" borderId="9" xfId="0" applyFont="1" applyFill="1" applyBorder="1" applyAlignment="1">
      <alignment horizontal="left" wrapText="1"/>
    </xf>
    <xf numFmtId="0" fontId="12" fillId="0" borderId="11" xfId="0" applyFont="1" applyFill="1" applyBorder="1"/>
    <xf numFmtId="0" fontId="12" fillId="0" borderId="6" xfId="0" applyFont="1" applyFill="1" applyBorder="1"/>
    <xf numFmtId="0" fontId="3" fillId="0" borderId="3" xfId="0" applyFont="1" applyFill="1" applyBorder="1" applyAlignment="1">
      <alignment horizontal="right"/>
    </xf>
    <xf numFmtId="0" fontId="12" fillId="0" borderId="10" xfId="0" applyFont="1" applyFill="1" applyBorder="1"/>
    <xf numFmtId="0" fontId="13" fillId="0" borderId="4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left" vertical="distributed" wrapText="1"/>
    </xf>
    <xf numFmtId="0" fontId="3" fillId="0" borderId="0" xfId="0" applyFont="1" applyFill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3" fillId="0" borderId="3" xfId="0" applyFont="1" applyFill="1" applyBorder="1"/>
    <xf numFmtId="0" fontId="12" fillId="0" borderId="4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vertical="distributed" wrapText="1"/>
    </xf>
    <xf numFmtId="0" fontId="12" fillId="0" borderId="4" xfId="0" applyFont="1" applyFill="1" applyBorder="1"/>
    <xf numFmtId="0" fontId="11" fillId="0" borderId="7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7" xfId="0" applyFont="1" applyFill="1" applyBorder="1" applyAlignment="1">
      <alignment horizontal="center" vertical="top"/>
    </xf>
    <xf numFmtId="0" fontId="12" fillId="0" borderId="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right" wrapText="1"/>
    </xf>
    <xf numFmtId="0" fontId="6" fillId="0" borderId="24" xfId="0" applyFont="1" applyFill="1" applyBorder="1"/>
    <xf numFmtId="0" fontId="6" fillId="0" borderId="7" xfId="0" applyFont="1" applyFill="1" applyBorder="1"/>
    <xf numFmtId="0" fontId="13" fillId="0" borderId="12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right" wrapText="1"/>
    </xf>
    <xf numFmtId="0" fontId="12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vertical="top" wrapText="1"/>
    </xf>
    <xf numFmtId="165" fontId="3" fillId="0" borderId="1" xfId="0" applyNumberFormat="1" applyFont="1" applyFill="1" applyBorder="1"/>
    <xf numFmtId="166" fontId="13" fillId="0" borderId="9" xfId="0" applyNumberFormat="1" applyFont="1" applyFill="1" applyBorder="1"/>
    <xf numFmtId="2" fontId="12" fillId="0" borderId="0" xfId="0" applyNumberFormat="1" applyFont="1" applyFill="1" applyBorder="1"/>
    <xf numFmtId="166" fontId="11" fillId="0" borderId="16" xfId="0" applyNumberFormat="1" applyFont="1" applyFill="1" applyBorder="1"/>
    <xf numFmtId="166" fontId="11" fillId="0" borderId="33" xfId="0" applyNumberFormat="1" applyFont="1" applyFill="1" applyBorder="1"/>
    <xf numFmtId="167" fontId="12" fillId="0" borderId="36" xfId="0" applyNumberFormat="1" applyFont="1" applyFill="1" applyBorder="1"/>
    <xf numFmtId="2" fontId="12" fillId="0" borderId="35" xfId="0" applyNumberFormat="1" applyFont="1" applyFill="1" applyBorder="1"/>
    <xf numFmtId="0" fontId="0" fillId="0" borderId="43" xfId="0" applyBorder="1"/>
    <xf numFmtId="166" fontId="12" fillId="0" borderId="0" xfId="0" applyNumberFormat="1" applyFont="1" applyFill="1"/>
    <xf numFmtId="0" fontId="15" fillId="0" borderId="0" xfId="0" applyFont="1" applyFill="1"/>
    <xf numFmtId="166" fontId="15" fillId="0" borderId="0" xfId="0" applyNumberFormat="1" applyFont="1" applyFill="1"/>
    <xf numFmtId="4" fontId="15" fillId="0" borderId="0" xfId="0" applyNumberFormat="1" applyFont="1" applyFill="1"/>
    <xf numFmtId="0" fontId="3" fillId="0" borderId="1" xfId="0" applyFont="1" applyFill="1" applyBorder="1" applyAlignment="1">
      <alignment horizontal="left" wrapText="1"/>
    </xf>
    <xf numFmtId="164" fontId="15" fillId="0" borderId="0" xfId="0" applyNumberFormat="1" applyFont="1" applyFill="1"/>
    <xf numFmtId="0" fontId="6" fillId="2" borderId="0" xfId="0" applyFont="1" applyFill="1" applyAlignment="1">
      <alignment horizontal="right"/>
    </xf>
    <xf numFmtId="0" fontId="19" fillId="0" borderId="0" xfId="0" applyFont="1" applyFill="1" applyAlignment="1">
      <alignment horizontal="right" wrapText="1"/>
    </xf>
    <xf numFmtId="167" fontId="12" fillId="0" borderId="37" xfId="0" applyNumberFormat="1" applyFont="1" applyFill="1" applyBorder="1"/>
    <xf numFmtId="0" fontId="19" fillId="0" borderId="37" xfId="0" applyFont="1" applyBorder="1" applyAlignment="1">
      <alignment horizontal="right" wrapText="1"/>
    </xf>
    <xf numFmtId="166" fontId="12" fillId="0" borderId="44" xfId="0" applyNumberFormat="1" applyFont="1" applyFill="1" applyBorder="1"/>
    <xf numFmtId="0" fontId="3" fillId="0" borderId="20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166" fontId="15" fillId="0" borderId="0" xfId="0" applyNumberFormat="1" applyFont="1"/>
    <xf numFmtId="0" fontId="15" fillId="0" borderId="0" xfId="0" applyFont="1" applyFill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0" fillId="2" borderId="0" xfId="0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4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/>
    </xf>
  </cellXfs>
  <cellStyles count="2">
    <cellStyle name="Įprastas" xfId="0" builtinId="0"/>
    <cellStyle name="Įprastas 2" xfId="1" xr:uid="{00000000-0005-0000-0000-000001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4"/>
  <sheetViews>
    <sheetView zoomScaleNormal="100" workbookViewId="0">
      <selection activeCell="B47" sqref="B47"/>
    </sheetView>
  </sheetViews>
  <sheetFormatPr defaultRowHeight="15" x14ac:dyDescent="0.25"/>
  <cols>
    <col min="1" max="1" width="8.42578125" customWidth="1"/>
    <col min="2" max="2" width="50.140625" customWidth="1"/>
    <col min="3" max="3" width="5.28515625" hidden="1" customWidth="1"/>
    <col min="4" max="4" width="40.140625" customWidth="1"/>
    <col min="9" max="9" width="9.5703125" bestFit="1" customWidth="1"/>
  </cols>
  <sheetData>
    <row r="1" spans="1:5" x14ac:dyDescent="0.25">
      <c r="B1" s="169"/>
      <c r="D1" t="s">
        <v>0</v>
      </c>
    </row>
    <row r="2" spans="1:5" x14ac:dyDescent="0.25">
      <c r="D2" t="s">
        <v>850</v>
      </c>
    </row>
    <row r="3" spans="1:5" ht="27.6" customHeight="1" x14ac:dyDescent="0.25">
      <c r="A3" s="500"/>
      <c r="B3" s="500"/>
      <c r="D3" s="230" t="s">
        <v>950</v>
      </c>
      <c r="E3" s="1"/>
    </row>
    <row r="4" spans="1:5" ht="12.75" customHeight="1" x14ac:dyDescent="0.25">
      <c r="A4" s="2"/>
      <c r="B4" s="2"/>
      <c r="C4" s="2"/>
      <c r="D4" s="135" t="s">
        <v>798</v>
      </c>
      <c r="E4" s="3"/>
    </row>
    <row r="5" spans="1:5" ht="15" customHeight="1" x14ac:dyDescent="0.25">
      <c r="B5" s="4" t="s">
        <v>1</v>
      </c>
      <c r="C5" s="2"/>
      <c r="D5" s="2"/>
    </row>
    <row r="6" spans="1:5" ht="15" customHeight="1" x14ac:dyDescent="0.25">
      <c r="B6" s="4"/>
      <c r="C6" s="2"/>
      <c r="D6" s="2"/>
      <c r="E6" s="2"/>
    </row>
    <row r="7" spans="1:5" ht="17.25" customHeight="1" x14ac:dyDescent="0.25">
      <c r="A7" s="5" t="s">
        <v>2</v>
      </c>
      <c r="B7" s="5" t="s">
        <v>3</v>
      </c>
      <c r="C7" s="6"/>
      <c r="D7" s="7" t="s">
        <v>4</v>
      </c>
    </row>
    <row r="8" spans="1:5" ht="12.75" customHeight="1" x14ac:dyDescent="0.25">
      <c r="A8" s="5">
        <v>1</v>
      </c>
      <c r="B8" s="5">
        <v>2</v>
      </c>
      <c r="C8" s="8"/>
      <c r="D8" s="7">
        <v>3</v>
      </c>
    </row>
    <row r="9" spans="1:5" ht="12.75" customHeight="1" x14ac:dyDescent="0.25">
      <c r="A9" s="9" t="s">
        <v>5</v>
      </c>
      <c r="B9" s="9" t="s">
        <v>6</v>
      </c>
      <c r="C9" s="9"/>
      <c r="D9" s="10">
        <f>D10+D11+D15</f>
        <v>52352</v>
      </c>
    </row>
    <row r="10" spans="1:5" ht="12.75" customHeight="1" x14ac:dyDescent="0.25">
      <c r="A10" s="6" t="s">
        <v>7</v>
      </c>
      <c r="B10" s="6" t="s">
        <v>8</v>
      </c>
      <c r="C10" s="6"/>
      <c r="D10" s="163">
        <f>48763+1261</f>
        <v>50024</v>
      </c>
    </row>
    <row r="11" spans="1:5" ht="12.75" customHeight="1" x14ac:dyDescent="0.25">
      <c r="A11" s="6" t="s">
        <v>9</v>
      </c>
      <c r="B11" s="6" t="s">
        <v>10</v>
      </c>
      <c r="C11" s="6"/>
      <c r="D11" s="163">
        <f>D12+D13+D14</f>
        <v>2155</v>
      </c>
    </row>
    <row r="12" spans="1:5" ht="12.75" customHeight="1" x14ac:dyDescent="0.25">
      <c r="A12" s="6" t="s">
        <v>11</v>
      </c>
      <c r="B12" s="6" t="s">
        <v>12</v>
      </c>
      <c r="C12" s="6"/>
      <c r="D12" s="163">
        <v>630</v>
      </c>
    </row>
    <row r="13" spans="1:5" ht="12.75" customHeight="1" x14ac:dyDescent="0.25">
      <c r="A13" s="6" t="s">
        <v>13</v>
      </c>
      <c r="B13" s="6" t="s">
        <v>14</v>
      </c>
      <c r="C13" s="6"/>
      <c r="D13" s="163">
        <v>25</v>
      </c>
    </row>
    <row r="14" spans="1:5" ht="12.75" customHeight="1" x14ac:dyDescent="0.25">
      <c r="A14" s="6" t="s">
        <v>15</v>
      </c>
      <c r="B14" s="6" t="s">
        <v>16</v>
      </c>
      <c r="C14" s="6"/>
      <c r="D14" s="163">
        <v>1500</v>
      </c>
      <c r="E14" s="3"/>
    </row>
    <row r="15" spans="1:5" ht="12.75" customHeight="1" x14ac:dyDescent="0.25">
      <c r="A15" s="6" t="s">
        <v>17</v>
      </c>
      <c r="B15" s="6" t="s">
        <v>18</v>
      </c>
      <c r="C15" s="6"/>
      <c r="D15" s="163">
        <f>D16</f>
        <v>173</v>
      </c>
    </row>
    <row r="16" spans="1:5" ht="12.75" customHeight="1" x14ac:dyDescent="0.25">
      <c r="A16" s="6" t="s">
        <v>19</v>
      </c>
      <c r="B16" s="6" t="s">
        <v>20</v>
      </c>
      <c r="C16" s="6"/>
      <c r="D16" s="163">
        <v>173</v>
      </c>
    </row>
    <row r="17" spans="1:10" ht="12.75" customHeight="1" x14ac:dyDescent="0.25">
      <c r="A17" s="9" t="s">
        <v>21</v>
      </c>
      <c r="B17" s="9" t="s">
        <v>22</v>
      </c>
      <c r="C17" s="9"/>
      <c r="D17" s="168">
        <f>D18+D21+D24+D48</f>
        <v>32230.532999999999</v>
      </c>
      <c r="G17" s="1"/>
      <c r="I17" s="11"/>
    </row>
    <row r="18" spans="1:10" ht="12.75" customHeight="1" x14ac:dyDescent="0.25">
      <c r="A18" s="13" t="s">
        <v>23</v>
      </c>
      <c r="B18" s="494" t="s">
        <v>24</v>
      </c>
      <c r="C18" s="495"/>
      <c r="D18" s="471">
        <f>D19+D20</f>
        <v>22625.761999999999</v>
      </c>
    </row>
    <row r="19" spans="1:10" ht="24.6" customHeight="1" x14ac:dyDescent="0.25">
      <c r="A19" s="14" t="s">
        <v>25</v>
      </c>
      <c r="B19" s="13" t="s">
        <v>26</v>
      </c>
      <c r="C19" s="6"/>
      <c r="D19" s="471">
        <f>4928.3+17.962+408.7</f>
        <v>5354.9620000000004</v>
      </c>
      <c r="F19" s="1"/>
    </row>
    <row r="20" spans="1:10" ht="12.75" customHeight="1" x14ac:dyDescent="0.25">
      <c r="A20" s="6" t="s">
        <v>27</v>
      </c>
      <c r="B20" s="6" t="s">
        <v>28</v>
      </c>
      <c r="C20" s="6"/>
      <c r="D20" s="163">
        <v>17270.8</v>
      </c>
      <c r="F20" s="1"/>
    </row>
    <row r="21" spans="1:10" ht="12.75" customHeight="1" x14ac:dyDescent="0.25">
      <c r="A21" s="13" t="s">
        <v>29</v>
      </c>
      <c r="B21" s="13" t="s">
        <v>30</v>
      </c>
      <c r="C21" s="15"/>
      <c r="D21" s="165">
        <f>SUM(D22:D23)</f>
        <v>389.5</v>
      </c>
      <c r="F21" s="1"/>
    </row>
    <row r="22" spans="1:10" ht="24" customHeight="1" x14ac:dyDescent="0.25">
      <c r="A22" s="13" t="s">
        <v>31</v>
      </c>
      <c r="B22" s="13" t="s">
        <v>32</v>
      </c>
      <c r="C22" s="15"/>
      <c r="D22" s="165">
        <v>94.8</v>
      </c>
      <c r="F22" s="1"/>
    </row>
    <row r="23" spans="1:10" ht="12.75" customHeight="1" x14ac:dyDescent="0.25">
      <c r="A23" s="13" t="s">
        <v>33</v>
      </c>
      <c r="B23" s="13" t="s">
        <v>34</v>
      </c>
      <c r="C23" s="15"/>
      <c r="D23" s="165">
        <v>294.7</v>
      </c>
      <c r="F23" s="1"/>
    </row>
    <row r="24" spans="1:10" ht="12.75" customHeight="1" x14ac:dyDescent="0.25">
      <c r="A24" s="13" t="s">
        <v>35</v>
      </c>
      <c r="B24" s="13" t="s">
        <v>36</v>
      </c>
      <c r="C24" s="15"/>
      <c r="D24" s="166">
        <f>SUM(D25:D47)</f>
        <v>5873.2710000000006</v>
      </c>
      <c r="F24" s="1"/>
    </row>
    <row r="25" spans="1:10" ht="23.25" customHeight="1" x14ac:dyDescent="0.25">
      <c r="A25" s="14" t="s">
        <v>37</v>
      </c>
      <c r="B25" s="12" t="s">
        <v>38</v>
      </c>
      <c r="C25" s="13"/>
      <c r="D25" s="165">
        <v>3007.4</v>
      </c>
      <c r="F25" s="1"/>
    </row>
    <row r="26" spans="1:10" ht="12.75" customHeight="1" x14ac:dyDescent="0.25">
      <c r="A26" s="14" t="s">
        <v>39</v>
      </c>
      <c r="B26" s="13" t="s">
        <v>40</v>
      </c>
      <c r="C26" s="13"/>
      <c r="D26" s="165">
        <v>52.1</v>
      </c>
      <c r="F26" s="1"/>
    </row>
    <row r="27" spans="1:10" ht="24" customHeight="1" x14ac:dyDescent="0.25">
      <c r="A27" s="14" t="s">
        <v>41</v>
      </c>
      <c r="B27" s="13" t="s">
        <v>42</v>
      </c>
      <c r="C27" s="13"/>
      <c r="D27" s="165">
        <v>34.200000000000003</v>
      </c>
      <c r="H27" s="1"/>
      <c r="J27" s="124"/>
    </row>
    <row r="28" spans="1:10" ht="13.15" customHeight="1" x14ac:dyDescent="0.25">
      <c r="A28" s="14" t="s">
        <v>43</v>
      </c>
      <c r="B28" s="123" t="s">
        <v>44</v>
      </c>
      <c r="C28" s="122"/>
      <c r="D28" s="165">
        <v>269.89999999999998</v>
      </c>
      <c r="H28" s="1"/>
      <c r="J28" s="124"/>
    </row>
    <row r="29" spans="1:10" ht="24" customHeight="1" x14ac:dyDescent="0.25">
      <c r="A29" s="14" t="s">
        <v>45</v>
      </c>
      <c r="B29" s="16" t="s">
        <v>46</v>
      </c>
      <c r="C29" s="13"/>
      <c r="D29" s="165">
        <v>85</v>
      </c>
      <c r="H29" s="1"/>
    </row>
    <row r="30" spans="1:10" ht="34.5" customHeight="1" x14ac:dyDescent="0.25">
      <c r="A30" s="14" t="s">
        <v>47</v>
      </c>
      <c r="B30" s="16" t="s">
        <v>762</v>
      </c>
      <c r="C30" s="13"/>
      <c r="D30" s="165">
        <v>125.3</v>
      </c>
      <c r="H30" s="1"/>
    </row>
    <row r="31" spans="1:10" ht="24.6" customHeight="1" x14ac:dyDescent="0.25">
      <c r="A31" s="14" t="s">
        <v>48</v>
      </c>
      <c r="B31" s="97" t="s">
        <v>49</v>
      </c>
      <c r="C31" s="13"/>
      <c r="D31" s="165">
        <v>13.9</v>
      </c>
      <c r="H31" s="1"/>
    </row>
    <row r="32" spans="1:10" ht="26.25" customHeight="1" x14ac:dyDescent="0.25">
      <c r="A32" s="14" t="s">
        <v>50</v>
      </c>
      <c r="B32" s="483" t="s">
        <v>51</v>
      </c>
      <c r="C32" s="13"/>
      <c r="D32" s="166">
        <f>43+1.606</f>
        <v>44.606000000000002</v>
      </c>
      <c r="H32" s="1"/>
    </row>
    <row r="33" spans="1:8" ht="24.75" customHeight="1" x14ac:dyDescent="0.25">
      <c r="A33" s="14" t="s">
        <v>52</v>
      </c>
      <c r="B33" s="109" t="s">
        <v>765</v>
      </c>
      <c r="C33" s="13"/>
      <c r="D33" s="166">
        <f>77.7-0.052</f>
        <v>77.647999999999996</v>
      </c>
      <c r="H33" s="1"/>
    </row>
    <row r="34" spans="1:8" ht="12.75" customHeight="1" x14ac:dyDescent="0.25">
      <c r="A34" s="14" t="s">
        <v>53</v>
      </c>
      <c r="B34" s="109" t="s">
        <v>54</v>
      </c>
      <c r="C34" s="13"/>
      <c r="D34" s="165">
        <v>907</v>
      </c>
      <c r="H34" s="1"/>
    </row>
    <row r="35" spans="1:8" ht="37.15" customHeight="1" x14ac:dyDescent="0.25">
      <c r="A35" s="14" t="s">
        <v>774</v>
      </c>
      <c r="B35" s="119" t="s">
        <v>57</v>
      </c>
      <c r="C35" s="118"/>
      <c r="D35" s="166">
        <v>22.574999999999999</v>
      </c>
      <c r="H35" s="1"/>
    </row>
    <row r="36" spans="1:8" ht="22.5" customHeight="1" x14ac:dyDescent="0.25">
      <c r="A36" s="14" t="s">
        <v>787</v>
      </c>
      <c r="B36" s="129" t="s">
        <v>788</v>
      </c>
      <c r="C36" s="118"/>
      <c r="D36" s="165">
        <v>211</v>
      </c>
      <c r="H36" s="1"/>
    </row>
    <row r="37" spans="1:8" ht="15" customHeight="1" x14ac:dyDescent="0.25">
      <c r="A37" s="130" t="s">
        <v>790</v>
      </c>
      <c r="B37" s="131" t="s">
        <v>791</v>
      </c>
      <c r="C37" s="132"/>
      <c r="D37" s="166">
        <f>161.6-0.015+36.8</f>
        <v>198.38499999999999</v>
      </c>
      <c r="H37" s="1"/>
    </row>
    <row r="38" spans="1:8" ht="15" customHeight="1" x14ac:dyDescent="0.25">
      <c r="A38" s="14" t="s">
        <v>799</v>
      </c>
      <c r="B38" s="129" t="s">
        <v>800</v>
      </c>
      <c r="C38" s="118"/>
      <c r="D38" s="166">
        <v>41.286000000000001</v>
      </c>
      <c r="H38" s="1"/>
    </row>
    <row r="39" spans="1:8" ht="27" customHeight="1" x14ac:dyDescent="0.25">
      <c r="A39" s="14" t="s">
        <v>801</v>
      </c>
      <c r="B39" s="129" t="s">
        <v>802</v>
      </c>
      <c r="C39" s="118"/>
      <c r="D39" s="166">
        <v>109.387</v>
      </c>
      <c r="H39" s="1"/>
    </row>
    <row r="40" spans="1:8" ht="25.9" customHeight="1" x14ac:dyDescent="0.25">
      <c r="A40" s="14" t="s">
        <v>803</v>
      </c>
      <c r="B40" s="129" t="s">
        <v>804</v>
      </c>
      <c r="C40" s="118"/>
      <c r="D40" s="167">
        <v>144.88999999999999</v>
      </c>
      <c r="H40" s="1"/>
    </row>
    <row r="41" spans="1:8" ht="25.15" customHeight="1" x14ac:dyDescent="0.25">
      <c r="A41" s="14" t="s">
        <v>805</v>
      </c>
      <c r="B41" s="129" t="s">
        <v>806</v>
      </c>
      <c r="C41" s="118"/>
      <c r="D41" s="166">
        <f>14.774+0.021</f>
        <v>14.795</v>
      </c>
      <c r="H41" s="1"/>
    </row>
    <row r="42" spans="1:8" ht="12.6" customHeight="1" x14ac:dyDescent="0.25">
      <c r="A42" s="234" t="s">
        <v>853</v>
      </c>
      <c r="B42" s="235" t="s">
        <v>855</v>
      </c>
      <c r="C42" s="236"/>
      <c r="D42" s="166">
        <v>36.628999999999998</v>
      </c>
      <c r="H42" s="1"/>
    </row>
    <row r="43" spans="1:8" ht="34.9" customHeight="1" x14ac:dyDescent="0.25">
      <c r="A43" s="234" t="s">
        <v>854</v>
      </c>
      <c r="B43" s="235" t="s">
        <v>856</v>
      </c>
      <c r="C43" s="236"/>
      <c r="D43" s="166">
        <v>49.25</v>
      </c>
      <c r="H43" s="1"/>
    </row>
    <row r="44" spans="1:8" ht="39" customHeight="1" x14ac:dyDescent="0.25">
      <c r="A44" s="234" t="s">
        <v>865</v>
      </c>
      <c r="B44" s="129" t="s">
        <v>866</v>
      </c>
      <c r="C44" s="236"/>
      <c r="D44" s="166">
        <f>14.22+20.916+0.248+39.932</f>
        <v>75.316000000000003</v>
      </c>
      <c r="H44" s="1"/>
    </row>
    <row r="45" spans="1:8" ht="28.5" customHeight="1" x14ac:dyDescent="0.25">
      <c r="A45" s="234" t="s">
        <v>867</v>
      </c>
      <c r="B45" s="129" t="s">
        <v>868</v>
      </c>
      <c r="C45" s="236"/>
      <c r="D45" s="166">
        <v>17.103999999999999</v>
      </c>
      <c r="H45" s="1"/>
    </row>
    <row r="46" spans="1:8" ht="36" customHeight="1" x14ac:dyDescent="0.25">
      <c r="A46" s="234" t="s">
        <v>869</v>
      </c>
      <c r="B46" s="247" t="s">
        <v>872</v>
      </c>
      <c r="C46" s="236"/>
      <c r="D46" s="165">
        <f>15+75.3</f>
        <v>90.3</v>
      </c>
      <c r="H46" s="1"/>
    </row>
    <row r="47" spans="1:8" ht="36" customHeight="1" x14ac:dyDescent="0.25">
      <c r="A47" s="234" t="s">
        <v>949</v>
      </c>
      <c r="B47" s="247" t="s">
        <v>948</v>
      </c>
      <c r="C47" s="236"/>
      <c r="D47" s="165">
        <v>245.3</v>
      </c>
      <c r="H47" s="1"/>
    </row>
    <row r="48" spans="1:8" ht="25.15" customHeight="1" x14ac:dyDescent="0.25">
      <c r="A48" s="130" t="s">
        <v>55</v>
      </c>
      <c r="B48" s="133" t="s">
        <v>56</v>
      </c>
      <c r="C48" s="134"/>
      <c r="D48" s="165">
        <v>3342</v>
      </c>
    </row>
    <row r="49" spans="1:8" ht="12.75" customHeight="1" x14ac:dyDescent="0.25">
      <c r="A49" s="9" t="s">
        <v>58</v>
      </c>
      <c r="B49" s="9" t="s">
        <v>59</v>
      </c>
      <c r="C49" s="9"/>
      <c r="D49" s="164">
        <f>D50+D51+D52+D53+D54+D55</f>
        <v>540.9</v>
      </c>
      <c r="H49" s="1"/>
    </row>
    <row r="50" spans="1:8" ht="24" customHeight="1" x14ac:dyDescent="0.25">
      <c r="A50" s="17" t="s">
        <v>60</v>
      </c>
      <c r="B50" s="496" t="s">
        <v>61</v>
      </c>
      <c r="C50" s="497"/>
      <c r="D50" s="163">
        <v>230</v>
      </c>
    </row>
    <row r="51" spans="1:8" ht="12.75" customHeight="1" x14ac:dyDescent="0.25">
      <c r="A51" s="17" t="s">
        <v>62</v>
      </c>
      <c r="B51" s="232" t="s">
        <v>63</v>
      </c>
      <c r="C51" s="232"/>
      <c r="D51" s="163">
        <v>40</v>
      </c>
    </row>
    <row r="52" spans="1:8" ht="12.75" customHeight="1" x14ac:dyDescent="0.25">
      <c r="A52" s="17" t="s">
        <v>64</v>
      </c>
      <c r="B52" s="232" t="s">
        <v>65</v>
      </c>
      <c r="C52" s="232"/>
      <c r="D52" s="163">
        <v>180</v>
      </c>
    </row>
    <row r="53" spans="1:8" ht="12.75" customHeight="1" x14ac:dyDescent="0.25">
      <c r="A53" s="17" t="s">
        <v>66</v>
      </c>
      <c r="B53" s="232" t="s">
        <v>67</v>
      </c>
      <c r="C53" s="232"/>
      <c r="D53" s="163">
        <v>40</v>
      </c>
    </row>
    <row r="54" spans="1:8" ht="12.75" customHeight="1" x14ac:dyDescent="0.25">
      <c r="A54" s="17" t="s">
        <v>68</v>
      </c>
      <c r="B54" s="232" t="s">
        <v>69</v>
      </c>
      <c r="C54" s="232"/>
      <c r="D54" s="163">
        <v>40</v>
      </c>
    </row>
    <row r="55" spans="1:8" ht="12.75" customHeight="1" x14ac:dyDescent="0.25">
      <c r="A55" s="17" t="s">
        <v>807</v>
      </c>
      <c r="B55" s="232" t="s">
        <v>808</v>
      </c>
      <c r="C55" s="232"/>
      <c r="D55" s="163">
        <v>10.9</v>
      </c>
    </row>
    <row r="56" spans="1:8" ht="12.75" customHeight="1" x14ac:dyDescent="0.25">
      <c r="A56" s="9" t="s">
        <v>70</v>
      </c>
      <c r="B56" s="9" t="s">
        <v>71</v>
      </c>
      <c r="C56" s="9"/>
      <c r="D56" s="164">
        <f>D57+D58+D59+D60+D61+D62</f>
        <v>7151.7</v>
      </c>
    </row>
    <row r="57" spans="1:8" ht="12.75" customHeight="1" x14ac:dyDescent="0.25">
      <c r="A57" s="6" t="s">
        <v>72</v>
      </c>
      <c r="B57" s="6" t="s">
        <v>73</v>
      </c>
      <c r="C57" s="6"/>
      <c r="D57" s="165">
        <f>156.3+5.6</f>
        <v>161.9</v>
      </c>
    </row>
    <row r="58" spans="1:8" ht="12.75" customHeight="1" x14ac:dyDescent="0.25">
      <c r="A58" s="6" t="s">
        <v>74</v>
      </c>
      <c r="B58" s="6" t="s">
        <v>71</v>
      </c>
      <c r="C58" s="6"/>
      <c r="D58" s="163">
        <f>1165.1+27.5</f>
        <v>1192.5999999999999</v>
      </c>
    </row>
    <row r="59" spans="1:8" ht="12.75" customHeight="1" x14ac:dyDescent="0.25">
      <c r="A59" s="17" t="s">
        <v>75</v>
      </c>
      <c r="B59" s="496" t="s">
        <v>76</v>
      </c>
      <c r="C59" s="497"/>
      <c r="D59" s="163">
        <v>1957.2</v>
      </c>
    </row>
    <row r="60" spans="1:8" ht="12.75" customHeight="1" x14ac:dyDescent="0.25">
      <c r="A60" s="17" t="s">
        <v>77</v>
      </c>
      <c r="B60" s="247" t="s">
        <v>870</v>
      </c>
      <c r="C60" s="246"/>
      <c r="D60" s="163">
        <v>1100</v>
      </c>
    </row>
    <row r="61" spans="1:8" ht="12.75" customHeight="1" x14ac:dyDescent="0.25">
      <c r="A61" s="17" t="s">
        <v>79</v>
      </c>
      <c r="B61" s="232" t="s">
        <v>78</v>
      </c>
      <c r="C61" s="232"/>
      <c r="D61" s="163">
        <v>160</v>
      </c>
    </row>
    <row r="62" spans="1:8" ht="12.75" customHeight="1" x14ac:dyDescent="0.25">
      <c r="A62" s="17" t="s">
        <v>871</v>
      </c>
      <c r="B62" s="232" t="s">
        <v>80</v>
      </c>
      <c r="C62" s="232"/>
      <c r="D62" s="163">
        <v>2580</v>
      </c>
    </row>
    <row r="63" spans="1:8" ht="12.75" customHeight="1" x14ac:dyDescent="0.25">
      <c r="A63" s="17" t="s">
        <v>873</v>
      </c>
      <c r="B63" s="18" t="s">
        <v>81</v>
      </c>
      <c r="C63" s="232"/>
      <c r="D63" s="163">
        <v>2500</v>
      </c>
    </row>
    <row r="64" spans="1:8" ht="12.75" customHeight="1" x14ac:dyDescent="0.25">
      <c r="A64" s="6" t="s">
        <v>82</v>
      </c>
      <c r="B64" s="6" t="s">
        <v>83</v>
      </c>
      <c r="C64" s="6"/>
      <c r="D64" s="163">
        <v>80</v>
      </c>
    </row>
    <row r="65" spans="1:7" ht="12.75" customHeight="1" x14ac:dyDescent="0.25">
      <c r="A65" s="6" t="s">
        <v>84</v>
      </c>
      <c r="B65" s="6" t="s">
        <v>85</v>
      </c>
      <c r="C65" s="6"/>
      <c r="D65" s="163">
        <v>250</v>
      </c>
    </row>
    <row r="66" spans="1:7" ht="12.75" customHeight="1" x14ac:dyDescent="0.25">
      <c r="A66" s="232" t="s">
        <v>86</v>
      </c>
      <c r="B66" s="498" t="s">
        <v>87</v>
      </c>
      <c r="C66" s="499"/>
      <c r="D66" s="163">
        <v>205</v>
      </c>
    </row>
    <row r="67" spans="1:7" ht="12.75" customHeight="1" x14ac:dyDescent="0.25">
      <c r="A67" s="232" t="s">
        <v>88</v>
      </c>
      <c r="B67" s="233" t="s">
        <v>89</v>
      </c>
      <c r="C67" s="233"/>
      <c r="D67" s="163">
        <v>140</v>
      </c>
    </row>
    <row r="68" spans="1:7" ht="12.75" customHeight="1" x14ac:dyDescent="0.25">
      <c r="A68" s="6" t="s">
        <v>101</v>
      </c>
      <c r="B68" s="9" t="s">
        <v>91</v>
      </c>
      <c r="C68" s="9"/>
      <c r="D68" s="168">
        <f>D9+D17+D49+D56+D64+D65+D66</f>
        <v>92810.132999999987</v>
      </c>
      <c r="G68" s="1"/>
    </row>
    <row r="69" spans="1:7" ht="12.75" customHeight="1" x14ac:dyDescent="0.25">
      <c r="A69" s="1"/>
      <c r="B69" s="19"/>
      <c r="C69" s="19"/>
      <c r="D69" s="169"/>
      <c r="G69" s="1"/>
    </row>
    <row r="70" spans="1:7" ht="12.75" customHeight="1" x14ac:dyDescent="0.25">
      <c r="A70" s="19"/>
      <c r="B70" s="19" t="s">
        <v>92</v>
      </c>
      <c r="C70" s="19"/>
      <c r="G70" s="1"/>
    </row>
    <row r="71" spans="1:7" ht="12.75" customHeight="1" x14ac:dyDescent="0.25">
      <c r="A71" s="1"/>
      <c r="B71" s="1"/>
      <c r="C71" s="19"/>
      <c r="G71" s="1"/>
    </row>
    <row r="72" spans="1:7" ht="12.75" customHeight="1" x14ac:dyDescent="0.25">
      <c r="A72" s="1"/>
      <c r="B72" s="1"/>
      <c r="C72" s="19"/>
      <c r="G72" s="1"/>
    </row>
    <row r="73" spans="1:7" ht="12.75" customHeight="1" x14ac:dyDescent="0.25">
      <c r="A73" s="1"/>
      <c r="B73" s="1"/>
      <c r="C73" s="19"/>
      <c r="G73" s="1"/>
    </row>
    <row r="74" spans="1:7" ht="12.75" customHeight="1" x14ac:dyDescent="0.25">
      <c r="A74" s="1"/>
      <c r="B74" s="1"/>
      <c r="C74" s="19"/>
      <c r="G74" s="1"/>
    </row>
    <row r="75" spans="1:7" ht="12.75" customHeight="1" x14ac:dyDescent="0.25">
      <c r="A75" s="1"/>
      <c r="B75" s="19"/>
      <c r="C75" s="19"/>
      <c r="G75" s="1"/>
    </row>
    <row r="76" spans="1:7" ht="12.75" customHeight="1" x14ac:dyDescent="0.25">
      <c r="A76" s="19"/>
      <c r="C76" s="19"/>
      <c r="G76" s="1"/>
    </row>
    <row r="77" spans="1:7" ht="12.75" customHeight="1" x14ac:dyDescent="0.25">
      <c r="A77" s="1"/>
      <c r="B77" s="1"/>
      <c r="C77" s="19"/>
      <c r="G77" s="1"/>
    </row>
    <row r="78" spans="1:7" ht="12.75" customHeight="1" x14ac:dyDescent="0.25">
      <c r="A78" s="1"/>
      <c r="B78" s="1"/>
      <c r="C78" s="19"/>
      <c r="G78" s="1"/>
    </row>
    <row r="79" spans="1:7" ht="12.75" customHeight="1" x14ac:dyDescent="0.25">
      <c r="A79" s="1"/>
      <c r="B79" s="1"/>
      <c r="C79" s="19"/>
      <c r="G79" s="1"/>
    </row>
    <row r="80" spans="1:7" ht="12.75" customHeight="1" x14ac:dyDescent="0.25">
      <c r="A80" s="1"/>
      <c r="B80" s="1"/>
      <c r="C80" s="19"/>
      <c r="G80" s="1"/>
    </row>
    <row r="81" spans="1:9" ht="12.75" customHeight="1" x14ac:dyDescent="0.25">
      <c r="A81" s="1"/>
      <c r="B81" s="19"/>
      <c r="C81" s="19"/>
      <c r="G81" s="1"/>
    </row>
    <row r="82" spans="1:9" ht="12.75" customHeight="1" x14ac:dyDescent="0.25">
      <c r="A82" s="19"/>
      <c r="C82" s="19"/>
      <c r="G82" s="1"/>
    </row>
    <row r="83" spans="1:9" ht="12.75" customHeight="1" x14ac:dyDescent="0.25">
      <c r="A83" s="19"/>
      <c r="C83" s="19"/>
      <c r="G83" s="1"/>
    </row>
    <row r="84" spans="1:9" ht="12.75" customHeight="1" x14ac:dyDescent="0.25">
      <c r="A84" s="19"/>
      <c r="C84" s="19"/>
      <c r="G84" s="1"/>
    </row>
    <row r="85" spans="1:9" ht="12.75" customHeight="1" x14ac:dyDescent="0.25">
      <c r="A85" s="19"/>
      <c r="C85" s="19"/>
      <c r="G85" s="1"/>
    </row>
    <row r="86" spans="1:9" ht="12.75" customHeight="1" x14ac:dyDescent="0.25">
      <c r="A86" s="1"/>
      <c r="B86" s="19"/>
      <c r="C86" s="1"/>
      <c r="I86" s="1"/>
    </row>
    <row r="87" spans="1:9" ht="12.75" customHeight="1" x14ac:dyDescent="0.25">
      <c r="A87" s="1"/>
      <c r="B87" s="19"/>
      <c r="C87" s="19"/>
      <c r="G87" s="1"/>
    </row>
    <row r="88" spans="1:9" x14ac:dyDescent="0.25">
      <c r="A88" s="1"/>
      <c r="B88" s="1"/>
    </row>
    <row r="89" spans="1:9" x14ac:dyDescent="0.25">
      <c r="A89" s="1"/>
      <c r="B89" s="20"/>
    </row>
    <row r="90" spans="1:9" x14ac:dyDescent="0.25">
      <c r="A90" s="1"/>
    </row>
    <row r="91" spans="1:9" x14ac:dyDescent="0.25">
      <c r="A91" s="1"/>
      <c r="B91" s="1"/>
    </row>
    <row r="92" spans="1:9" x14ac:dyDescent="0.25">
      <c r="A92" s="1"/>
      <c r="B92" s="1"/>
      <c r="C92" s="19"/>
    </row>
    <row r="94" spans="1:9" x14ac:dyDescent="0.25">
      <c r="A94" s="1"/>
    </row>
  </sheetData>
  <mergeCells count="5">
    <mergeCell ref="B18:C18"/>
    <mergeCell ref="B50:C50"/>
    <mergeCell ref="B59:C59"/>
    <mergeCell ref="B66:C66"/>
    <mergeCell ref="A3:B3"/>
  </mergeCells>
  <pageMargins left="0.7" right="0.7" top="0.75" bottom="0.75" header="0.3" footer="0.3"/>
  <pageSetup paperSize="9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5"/>
  <sheetViews>
    <sheetView workbookViewId="0"/>
  </sheetViews>
  <sheetFormatPr defaultRowHeight="15" x14ac:dyDescent="0.25"/>
  <cols>
    <col min="1" max="1" width="5" customWidth="1"/>
    <col min="2" max="2" width="35.85546875" customWidth="1"/>
    <col min="3" max="3" width="7.85546875" customWidth="1"/>
    <col min="4" max="4" width="8.7109375" customWidth="1"/>
    <col min="5" max="5" width="10.28515625" customWidth="1"/>
    <col min="6" max="6" width="9.28515625" customWidth="1"/>
    <col min="7" max="7" width="7.7109375" customWidth="1"/>
    <col min="8" max="8" width="11.85546875" customWidth="1"/>
  </cols>
  <sheetData>
    <row r="1" spans="1:7" x14ac:dyDescent="0.25">
      <c r="A1" s="248"/>
      <c r="B1" s="248"/>
      <c r="C1" s="504" t="s">
        <v>0</v>
      </c>
      <c r="D1" s="504"/>
      <c r="E1" s="504"/>
      <c r="F1" s="504"/>
      <c r="G1" s="504"/>
    </row>
    <row r="2" spans="1:7" x14ac:dyDescent="0.25">
      <c r="A2" s="248"/>
      <c r="B2" s="248"/>
      <c r="C2" s="505" t="s">
        <v>850</v>
      </c>
      <c r="D2" s="505"/>
      <c r="E2" s="505"/>
      <c r="F2" s="505"/>
      <c r="G2" s="505"/>
    </row>
    <row r="3" spans="1:7" ht="24.75" customHeight="1" x14ac:dyDescent="0.25">
      <c r="A3" s="248"/>
      <c r="B3" s="248"/>
      <c r="C3" s="506" t="s">
        <v>950</v>
      </c>
      <c r="D3" s="506"/>
      <c r="E3" s="506"/>
      <c r="F3" s="506"/>
      <c r="G3" s="506"/>
    </row>
    <row r="4" spans="1:7" x14ac:dyDescent="0.25">
      <c r="A4" s="248"/>
      <c r="B4" s="248"/>
      <c r="C4" s="248" t="s">
        <v>874</v>
      </c>
      <c r="D4" s="248"/>
      <c r="E4" s="248"/>
      <c r="F4" s="249"/>
    </row>
    <row r="5" spans="1:7" x14ac:dyDescent="0.25">
      <c r="A5" s="248"/>
      <c r="B5" s="248"/>
      <c r="C5" s="248"/>
      <c r="D5" s="248"/>
      <c r="E5" s="248"/>
      <c r="F5" s="249"/>
    </row>
    <row r="6" spans="1:7" ht="12.75" customHeight="1" x14ac:dyDescent="0.25">
      <c r="A6" s="501" t="s">
        <v>875</v>
      </c>
      <c r="B6" s="501"/>
      <c r="C6" s="501"/>
      <c r="D6" s="501"/>
      <c r="E6" s="501"/>
      <c r="F6" s="501"/>
    </row>
    <row r="7" spans="1:7" x14ac:dyDescent="0.25">
      <c r="A7" s="501"/>
      <c r="B7" s="501"/>
      <c r="C7" s="501"/>
      <c r="D7" s="501"/>
      <c r="E7" s="501"/>
      <c r="F7" s="501"/>
      <c r="G7" s="309"/>
    </row>
    <row r="8" spans="1:7" x14ac:dyDescent="0.25">
      <c r="A8" s="502"/>
      <c r="B8" s="502"/>
      <c r="C8" s="502"/>
      <c r="D8" s="250"/>
      <c r="E8" s="251"/>
      <c r="F8" s="503" t="s">
        <v>93</v>
      </c>
      <c r="G8" s="503"/>
    </row>
    <row r="9" spans="1:7" ht="78.75" x14ac:dyDescent="0.25">
      <c r="A9" s="252" t="s">
        <v>2</v>
      </c>
      <c r="B9" s="253" t="s">
        <v>876</v>
      </c>
      <c r="C9" s="254" t="s">
        <v>94</v>
      </c>
      <c r="D9" s="255" t="s">
        <v>71</v>
      </c>
      <c r="E9" s="255" t="s">
        <v>877</v>
      </c>
      <c r="F9" s="256" t="s">
        <v>73</v>
      </c>
      <c r="G9" s="256" t="s">
        <v>870</v>
      </c>
    </row>
    <row r="10" spans="1:7" ht="12.75" customHeight="1" x14ac:dyDescent="0.25">
      <c r="A10" s="257">
        <v>1</v>
      </c>
      <c r="B10" s="258">
        <v>2</v>
      </c>
      <c r="C10" s="259">
        <v>3</v>
      </c>
      <c r="D10" s="260">
        <v>4</v>
      </c>
      <c r="E10" s="260">
        <v>5</v>
      </c>
      <c r="F10" s="260">
        <v>6</v>
      </c>
      <c r="G10" s="266"/>
    </row>
    <row r="11" spans="1:7" ht="12.75" customHeight="1" x14ac:dyDescent="0.25">
      <c r="A11" s="261" t="s">
        <v>5</v>
      </c>
      <c r="B11" s="262" t="s">
        <v>95</v>
      </c>
      <c r="C11" s="263">
        <f t="shared" ref="C11:C50" si="0">D11+E11+F11</f>
        <v>77.5</v>
      </c>
      <c r="D11" s="263">
        <v>75</v>
      </c>
      <c r="E11" s="263"/>
      <c r="F11" s="264">
        <v>2.5</v>
      </c>
      <c r="G11" s="266"/>
    </row>
    <row r="12" spans="1:7" ht="12.75" customHeight="1" x14ac:dyDescent="0.25">
      <c r="A12" s="261" t="s">
        <v>21</v>
      </c>
      <c r="B12" s="262" t="s">
        <v>878</v>
      </c>
      <c r="C12" s="263">
        <f t="shared" si="0"/>
        <v>39</v>
      </c>
      <c r="D12" s="263">
        <v>30</v>
      </c>
      <c r="E12" s="263">
        <v>7</v>
      </c>
      <c r="F12" s="265">
        <v>2</v>
      </c>
      <c r="G12" s="266"/>
    </row>
    <row r="13" spans="1:7" ht="12.75" customHeight="1" x14ac:dyDescent="0.25">
      <c r="A13" s="261" t="s">
        <v>58</v>
      </c>
      <c r="B13" s="262" t="s">
        <v>96</v>
      </c>
      <c r="C13" s="263">
        <f t="shared" si="0"/>
        <v>85.4</v>
      </c>
      <c r="D13" s="263">
        <v>41.7</v>
      </c>
      <c r="E13" s="263">
        <v>43.5</v>
      </c>
      <c r="F13" s="264">
        <v>0.2</v>
      </c>
      <c r="G13" s="266"/>
    </row>
    <row r="14" spans="1:7" ht="12.75" customHeight="1" x14ac:dyDescent="0.25">
      <c r="A14" s="261" t="s">
        <v>70</v>
      </c>
      <c r="B14" s="262" t="s">
        <v>97</v>
      </c>
      <c r="C14" s="263">
        <f t="shared" si="0"/>
        <v>27.400000000000002</v>
      </c>
      <c r="D14" s="263">
        <v>12.6</v>
      </c>
      <c r="E14" s="263">
        <v>14.5</v>
      </c>
      <c r="F14" s="264">
        <v>0.3</v>
      </c>
      <c r="G14" s="266"/>
    </row>
    <row r="15" spans="1:7" ht="12.75" customHeight="1" x14ac:dyDescent="0.25">
      <c r="A15" s="261" t="s">
        <v>82</v>
      </c>
      <c r="B15" s="262" t="s">
        <v>98</v>
      </c>
      <c r="C15" s="263">
        <f t="shared" si="0"/>
        <v>47.2</v>
      </c>
      <c r="D15" s="263">
        <v>43.2</v>
      </c>
      <c r="E15" s="263"/>
      <c r="F15" s="264">
        <v>4</v>
      </c>
      <c r="G15" s="266"/>
    </row>
    <row r="16" spans="1:7" ht="12.75" customHeight="1" x14ac:dyDescent="0.25">
      <c r="A16" s="261" t="s">
        <v>84</v>
      </c>
      <c r="B16" s="262" t="s">
        <v>99</v>
      </c>
      <c r="C16" s="263">
        <f t="shared" si="0"/>
        <v>135.89999999999998</v>
      </c>
      <c r="D16" s="263">
        <v>118.3</v>
      </c>
      <c r="E16" s="263">
        <v>9.6</v>
      </c>
      <c r="F16" s="265">
        <v>8</v>
      </c>
      <c r="G16" s="266"/>
    </row>
    <row r="17" spans="1:7" ht="12.75" customHeight="1" x14ac:dyDescent="0.25">
      <c r="A17" s="261" t="s">
        <v>86</v>
      </c>
      <c r="B17" s="262" t="s">
        <v>100</v>
      </c>
      <c r="C17" s="263">
        <f t="shared" si="0"/>
        <v>35</v>
      </c>
      <c r="D17" s="263">
        <f>3+3.5</f>
        <v>6.5</v>
      </c>
      <c r="E17" s="263">
        <v>27.5</v>
      </c>
      <c r="F17" s="264">
        <v>1</v>
      </c>
      <c r="G17" s="266"/>
    </row>
    <row r="18" spans="1:7" ht="12.75" customHeight="1" x14ac:dyDescent="0.25">
      <c r="A18" s="261" t="s">
        <v>101</v>
      </c>
      <c r="B18" s="262" t="s">
        <v>102</v>
      </c>
      <c r="C18" s="263">
        <f t="shared" si="0"/>
        <v>5.9</v>
      </c>
      <c r="D18" s="263">
        <v>5.9</v>
      </c>
      <c r="E18" s="263"/>
      <c r="F18" s="264"/>
      <c r="G18" s="266"/>
    </row>
    <row r="19" spans="1:7" ht="12.75" customHeight="1" x14ac:dyDescent="0.25">
      <c r="A19" s="261" t="s">
        <v>90</v>
      </c>
      <c r="B19" s="262" t="s">
        <v>103</v>
      </c>
      <c r="C19" s="263">
        <f t="shared" si="0"/>
        <v>80.5</v>
      </c>
      <c r="D19" s="263">
        <v>26.5</v>
      </c>
      <c r="E19" s="263">
        <v>51</v>
      </c>
      <c r="F19" s="265">
        <v>3</v>
      </c>
      <c r="G19" s="266"/>
    </row>
    <row r="20" spans="1:7" ht="12.75" customHeight="1" x14ac:dyDescent="0.25">
      <c r="A20" s="266" t="s">
        <v>104</v>
      </c>
      <c r="B20" s="262" t="s">
        <v>105</v>
      </c>
      <c r="C20" s="263">
        <f t="shared" si="0"/>
        <v>58.7</v>
      </c>
      <c r="D20" s="263">
        <f>24+24</f>
        <v>48</v>
      </c>
      <c r="E20" s="263">
        <v>0.7</v>
      </c>
      <c r="F20" s="265">
        <f>6+4</f>
        <v>10</v>
      </c>
      <c r="G20" s="266"/>
    </row>
    <row r="21" spans="1:7" ht="12.75" customHeight="1" x14ac:dyDescent="0.25">
      <c r="A21" s="261" t="s">
        <v>106</v>
      </c>
      <c r="B21" s="262" t="s">
        <v>107</v>
      </c>
      <c r="C21" s="263">
        <f t="shared" si="0"/>
        <v>65.5</v>
      </c>
      <c r="D21" s="263">
        <v>16</v>
      </c>
      <c r="E21" s="263">
        <v>48.2</v>
      </c>
      <c r="F21" s="265">
        <v>1.3</v>
      </c>
      <c r="G21" s="266"/>
    </row>
    <row r="22" spans="1:7" ht="12.75" customHeight="1" x14ac:dyDescent="0.25">
      <c r="A22" s="261" t="s">
        <v>108</v>
      </c>
      <c r="B22" s="262" t="s">
        <v>109</v>
      </c>
      <c r="C22" s="263">
        <f t="shared" si="0"/>
        <v>15.3</v>
      </c>
      <c r="D22" s="263">
        <v>7.8</v>
      </c>
      <c r="E22" s="263">
        <v>7.5</v>
      </c>
      <c r="F22" s="264"/>
      <c r="G22" s="266"/>
    </row>
    <row r="23" spans="1:7" ht="12.75" customHeight="1" x14ac:dyDescent="0.25">
      <c r="A23" s="261" t="s">
        <v>110</v>
      </c>
      <c r="B23" s="262" t="s">
        <v>111</v>
      </c>
      <c r="C23" s="263">
        <f t="shared" si="0"/>
        <v>35.9</v>
      </c>
      <c r="D23" s="263">
        <v>12.7</v>
      </c>
      <c r="E23" s="263">
        <v>23.2</v>
      </c>
      <c r="F23" s="264"/>
      <c r="G23" s="266"/>
    </row>
    <row r="24" spans="1:7" ht="12.75" customHeight="1" x14ac:dyDescent="0.25">
      <c r="A24" s="266" t="s">
        <v>112</v>
      </c>
      <c r="B24" s="262" t="s">
        <v>113</v>
      </c>
      <c r="C24" s="263">
        <f t="shared" si="0"/>
        <v>87.600000000000009</v>
      </c>
      <c r="D24" s="263">
        <v>31.5</v>
      </c>
      <c r="E24" s="263">
        <v>53.4</v>
      </c>
      <c r="F24" s="264">
        <v>2.7</v>
      </c>
      <c r="G24" s="266"/>
    </row>
    <row r="25" spans="1:7" ht="12.75" customHeight="1" x14ac:dyDescent="0.25">
      <c r="A25" s="261" t="s">
        <v>114</v>
      </c>
      <c r="B25" s="262" t="s">
        <v>879</v>
      </c>
      <c r="C25" s="263">
        <f t="shared" si="0"/>
        <v>52</v>
      </c>
      <c r="D25" s="263">
        <v>12</v>
      </c>
      <c r="E25" s="263">
        <v>40</v>
      </c>
      <c r="F25" s="264"/>
      <c r="G25" s="266"/>
    </row>
    <row r="26" spans="1:7" ht="12.75" customHeight="1" x14ac:dyDescent="0.25">
      <c r="A26" s="267" t="s">
        <v>115</v>
      </c>
      <c r="B26" s="262" t="s">
        <v>116</v>
      </c>
      <c r="C26" s="263">
        <f t="shared" si="0"/>
        <v>76.900000000000006</v>
      </c>
      <c r="D26" s="263"/>
      <c r="E26" s="263">
        <v>76.900000000000006</v>
      </c>
      <c r="F26" s="264"/>
      <c r="G26" s="266"/>
    </row>
    <row r="27" spans="1:7" ht="12.75" customHeight="1" x14ac:dyDescent="0.25">
      <c r="A27" s="267" t="s">
        <v>117</v>
      </c>
      <c r="B27" s="262" t="s">
        <v>118</v>
      </c>
      <c r="C27" s="263">
        <f t="shared" si="0"/>
        <v>98.2</v>
      </c>
      <c r="D27" s="263"/>
      <c r="E27" s="263">
        <v>98.2</v>
      </c>
      <c r="F27" s="264"/>
      <c r="G27" s="266"/>
    </row>
    <row r="28" spans="1:7" ht="12.75" customHeight="1" x14ac:dyDescent="0.25">
      <c r="A28" s="267" t="s">
        <v>119</v>
      </c>
      <c r="B28" s="262" t="s">
        <v>120</v>
      </c>
      <c r="C28" s="263">
        <f t="shared" si="0"/>
        <v>88.1</v>
      </c>
      <c r="D28" s="263"/>
      <c r="E28" s="263">
        <v>88.1</v>
      </c>
      <c r="F28" s="264"/>
      <c r="G28" s="266"/>
    </row>
    <row r="29" spans="1:7" ht="12.75" customHeight="1" x14ac:dyDescent="0.25">
      <c r="A29" s="267" t="s">
        <v>121</v>
      </c>
      <c r="B29" s="262" t="s">
        <v>122</v>
      </c>
      <c r="C29" s="263">
        <f t="shared" si="0"/>
        <v>90.7</v>
      </c>
      <c r="D29" s="263"/>
      <c r="E29" s="263">
        <v>90.7</v>
      </c>
      <c r="F29" s="265"/>
      <c r="G29" s="266"/>
    </row>
    <row r="30" spans="1:7" ht="12.75" customHeight="1" x14ac:dyDescent="0.25">
      <c r="A30" s="267" t="s">
        <v>123</v>
      </c>
      <c r="B30" s="262" t="s">
        <v>124</v>
      </c>
      <c r="C30" s="263">
        <f t="shared" si="0"/>
        <v>105.4</v>
      </c>
      <c r="D30" s="263"/>
      <c r="E30" s="263">
        <v>105.4</v>
      </c>
      <c r="F30" s="264"/>
      <c r="G30" s="266"/>
    </row>
    <row r="31" spans="1:7" ht="12.75" customHeight="1" x14ac:dyDescent="0.25">
      <c r="A31" s="267" t="s">
        <v>125</v>
      </c>
      <c r="B31" s="262" t="s">
        <v>126</v>
      </c>
      <c r="C31" s="263">
        <f t="shared" si="0"/>
        <v>67.7</v>
      </c>
      <c r="D31" s="263"/>
      <c r="E31" s="263">
        <v>67.7</v>
      </c>
      <c r="F31" s="264"/>
      <c r="G31" s="266"/>
    </row>
    <row r="32" spans="1:7" ht="12.75" customHeight="1" x14ac:dyDescent="0.25">
      <c r="A32" s="267" t="s">
        <v>127</v>
      </c>
      <c r="B32" s="262" t="s">
        <v>128</v>
      </c>
      <c r="C32" s="263">
        <f t="shared" si="0"/>
        <v>16.399999999999999</v>
      </c>
      <c r="D32" s="263"/>
      <c r="E32" s="263">
        <v>14.4</v>
      </c>
      <c r="F32" s="265">
        <v>2</v>
      </c>
      <c r="G32" s="266"/>
    </row>
    <row r="33" spans="1:11" ht="12.75" customHeight="1" x14ac:dyDescent="0.25">
      <c r="A33" s="267" t="s">
        <v>129</v>
      </c>
      <c r="B33" s="262" t="s">
        <v>130</v>
      </c>
      <c r="C33" s="263">
        <f t="shared" si="0"/>
        <v>103.3</v>
      </c>
      <c r="D33" s="263">
        <v>103.3</v>
      </c>
      <c r="E33" s="263"/>
      <c r="F33" s="264"/>
      <c r="G33" s="308"/>
      <c r="H33" s="268"/>
      <c r="J33" s="268"/>
    </row>
    <row r="34" spans="1:11" ht="12.75" customHeight="1" x14ac:dyDescent="0.25">
      <c r="A34" s="267" t="s">
        <v>131</v>
      </c>
      <c r="B34" s="262" t="s">
        <v>132</v>
      </c>
      <c r="C34" s="263">
        <f t="shared" si="0"/>
        <v>0.89999999999999991</v>
      </c>
      <c r="D34" s="264">
        <v>0.6</v>
      </c>
      <c r="E34" s="263"/>
      <c r="F34" s="264">
        <v>0.3</v>
      </c>
      <c r="G34" s="308"/>
      <c r="H34" s="268"/>
      <c r="I34" s="20"/>
      <c r="J34" s="268"/>
    </row>
    <row r="35" spans="1:11" ht="12.75" customHeight="1" x14ac:dyDescent="0.25">
      <c r="A35" s="267" t="s">
        <v>133</v>
      </c>
      <c r="B35" s="269" t="s">
        <v>134</v>
      </c>
      <c r="C35" s="263">
        <f t="shared" si="0"/>
        <v>100</v>
      </c>
      <c r="D35" s="263">
        <v>100</v>
      </c>
      <c r="E35" s="270"/>
      <c r="F35" s="264"/>
      <c r="G35" s="266"/>
    </row>
    <row r="36" spans="1:11" ht="24.75" x14ac:dyDescent="0.25">
      <c r="A36" s="271" t="s">
        <v>135</v>
      </c>
      <c r="B36" s="272" t="s">
        <v>880</v>
      </c>
      <c r="C36" s="263">
        <f t="shared" si="0"/>
        <v>2</v>
      </c>
      <c r="D36" s="263">
        <v>2</v>
      </c>
      <c r="E36" s="270"/>
      <c r="F36" s="264"/>
      <c r="G36" s="266"/>
    </row>
    <row r="37" spans="1:11" ht="12.75" customHeight="1" x14ac:dyDescent="0.25">
      <c r="A37" s="267" t="s">
        <v>136</v>
      </c>
      <c r="B37" s="262" t="s">
        <v>881</v>
      </c>
      <c r="C37" s="263">
        <f t="shared" si="0"/>
        <v>27.4</v>
      </c>
      <c r="D37" s="263">
        <v>27.4</v>
      </c>
      <c r="E37" s="270"/>
      <c r="F37" s="264"/>
      <c r="G37" s="266"/>
      <c r="H37" s="268"/>
      <c r="I37" s="1"/>
    </row>
    <row r="38" spans="1:11" ht="12.75" customHeight="1" x14ac:dyDescent="0.25">
      <c r="A38" s="267" t="s">
        <v>137</v>
      </c>
      <c r="B38" s="262" t="s">
        <v>882</v>
      </c>
      <c r="C38" s="263">
        <f t="shared" si="0"/>
        <v>75.3</v>
      </c>
      <c r="D38" s="263">
        <v>75.3</v>
      </c>
      <c r="E38" s="270"/>
      <c r="F38" s="264"/>
      <c r="G38" s="308"/>
      <c r="H38" s="268"/>
      <c r="I38" s="268"/>
      <c r="J38" s="268"/>
      <c r="K38" s="268"/>
    </row>
    <row r="39" spans="1:11" ht="12.75" customHeight="1" x14ac:dyDescent="0.25">
      <c r="A39" s="267" t="s">
        <v>138</v>
      </c>
      <c r="B39" s="269" t="s">
        <v>883</v>
      </c>
      <c r="C39" s="263">
        <f t="shared" si="0"/>
        <v>30</v>
      </c>
      <c r="D39" s="263">
        <v>30</v>
      </c>
      <c r="E39" s="270"/>
      <c r="F39" s="264"/>
      <c r="G39" s="266"/>
    </row>
    <row r="40" spans="1:11" ht="12.75" customHeight="1" x14ac:dyDescent="0.25">
      <c r="A40" s="267" t="s">
        <v>139</v>
      </c>
      <c r="B40" s="262" t="s">
        <v>140</v>
      </c>
      <c r="C40" s="263">
        <f t="shared" si="0"/>
        <v>1078</v>
      </c>
      <c r="D40" s="263"/>
      <c r="E40" s="263">
        <v>1077.7</v>
      </c>
      <c r="F40" s="264">
        <v>0.3</v>
      </c>
      <c r="G40" s="266"/>
    </row>
    <row r="41" spans="1:11" ht="12.75" customHeight="1" x14ac:dyDescent="0.25">
      <c r="A41" s="267" t="s">
        <v>141</v>
      </c>
      <c r="B41" s="262" t="s">
        <v>142</v>
      </c>
      <c r="C41" s="263">
        <f t="shared" si="0"/>
        <v>3</v>
      </c>
      <c r="D41" s="263">
        <v>1</v>
      </c>
      <c r="E41" s="263"/>
      <c r="F41" s="264">
        <v>2</v>
      </c>
      <c r="G41" s="266"/>
    </row>
    <row r="42" spans="1:11" ht="12.75" customHeight="1" x14ac:dyDescent="0.25">
      <c r="A42" s="267" t="s">
        <v>143</v>
      </c>
      <c r="B42" s="262" t="s">
        <v>144</v>
      </c>
      <c r="C42" s="263">
        <f t="shared" si="0"/>
        <v>20</v>
      </c>
      <c r="D42" s="263">
        <v>20</v>
      </c>
      <c r="E42" s="263"/>
      <c r="F42" s="264"/>
      <c r="G42" s="266"/>
    </row>
    <row r="43" spans="1:11" ht="12.75" customHeight="1" x14ac:dyDescent="0.25">
      <c r="A43" s="267" t="s">
        <v>145</v>
      </c>
      <c r="B43" s="262" t="s">
        <v>146</v>
      </c>
      <c r="C43" s="263">
        <f t="shared" si="0"/>
        <v>291.10000000000002</v>
      </c>
      <c r="D43" s="263">
        <v>281.60000000000002</v>
      </c>
      <c r="E43" s="263"/>
      <c r="F43" s="264">
        <v>9.5</v>
      </c>
      <c r="G43" s="266"/>
      <c r="I43" s="1"/>
    </row>
    <row r="44" spans="1:11" ht="12.75" customHeight="1" x14ac:dyDescent="0.25">
      <c r="A44" s="267" t="s">
        <v>147</v>
      </c>
      <c r="B44" s="262" t="s">
        <v>148</v>
      </c>
      <c r="C44" s="263">
        <f t="shared" si="0"/>
        <v>2</v>
      </c>
      <c r="D44" s="263">
        <v>2</v>
      </c>
      <c r="E44" s="263"/>
      <c r="F44" s="264"/>
      <c r="G44" s="266"/>
    </row>
    <row r="45" spans="1:11" ht="12.75" customHeight="1" x14ac:dyDescent="0.25">
      <c r="A45" s="267" t="s">
        <v>149</v>
      </c>
      <c r="B45" s="262" t="s">
        <v>150</v>
      </c>
      <c r="C45" s="263">
        <f t="shared" si="0"/>
        <v>2.4</v>
      </c>
      <c r="D45" s="263">
        <v>0.4</v>
      </c>
      <c r="E45" s="263"/>
      <c r="F45" s="264">
        <f>0.4+1.6</f>
        <v>2</v>
      </c>
      <c r="G45" s="266"/>
      <c r="H45" s="268"/>
    </row>
    <row r="46" spans="1:11" ht="12.75" customHeight="1" x14ac:dyDescent="0.25">
      <c r="A46" s="267" t="s">
        <v>151</v>
      </c>
      <c r="B46" s="262" t="s">
        <v>152</v>
      </c>
      <c r="C46" s="263">
        <f t="shared" si="0"/>
        <v>5</v>
      </c>
      <c r="D46" s="263">
        <v>3</v>
      </c>
      <c r="E46" s="263"/>
      <c r="F46" s="265">
        <v>2</v>
      </c>
      <c r="G46" s="308"/>
      <c r="I46" s="268"/>
      <c r="J46" s="268"/>
      <c r="K46" s="268"/>
    </row>
    <row r="47" spans="1:11" ht="12.75" customHeight="1" x14ac:dyDescent="0.25">
      <c r="A47" s="267" t="s">
        <v>153</v>
      </c>
      <c r="B47" s="262" t="s">
        <v>154</v>
      </c>
      <c r="C47" s="273">
        <f t="shared" si="0"/>
        <v>15</v>
      </c>
      <c r="D47" s="263">
        <v>14.5</v>
      </c>
      <c r="E47" s="263"/>
      <c r="F47" s="265">
        <v>0.5</v>
      </c>
      <c r="G47" s="266"/>
    </row>
    <row r="48" spans="1:11" ht="12.75" customHeight="1" x14ac:dyDescent="0.25">
      <c r="A48" s="267" t="s">
        <v>155</v>
      </c>
      <c r="B48" s="262" t="s">
        <v>156</v>
      </c>
      <c r="C48" s="263">
        <f t="shared" si="0"/>
        <v>5</v>
      </c>
      <c r="D48" s="263">
        <v>3.8</v>
      </c>
      <c r="E48" s="263"/>
      <c r="F48" s="265">
        <v>1.2</v>
      </c>
      <c r="G48" s="266"/>
    </row>
    <row r="49" spans="1:14" ht="12.75" customHeight="1" x14ac:dyDescent="0.25">
      <c r="A49" s="267" t="s">
        <v>157</v>
      </c>
      <c r="B49" s="262" t="s">
        <v>158</v>
      </c>
      <c r="C49" s="263">
        <f t="shared" si="0"/>
        <v>60</v>
      </c>
      <c r="D49" s="263">
        <v>32</v>
      </c>
      <c r="E49" s="263">
        <v>12</v>
      </c>
      <c r="F49" s="265">
        <v>16</v>
      </c>
      <c r="G49" s="266"/>
    </row>
    <row r="50" spans="1:14" ht="12.75" customHeight="1" x14ac:dyDescent="0.25">
      <c r="A50" s="267" t="s">
        <v>159</v>
      </c>
      <c r="B50" s="262" t="s">
        <v>160</v>
      </c>
      <c r="C50" s="263">
        <f t="shared" si="0"/>
        <v>3</v>
      </c>
      <c r="D50" s="263">
        <v>3</v>
      </c>
      <c r="E50" s="263"/>
      <c r="F50" s="264"/>
      <c r="G50" s="266"/>
    </row>
    <row r="51" spans="1:14" ht="12.75" customHeight="1" x14ac:dyDescent="0.25">
      <c r="A51" s="267" t="s">
        <v>161</v>
      </c>
      <c r="B51" s="262" t="s">
        <v>162</v>
      </c>
      <c r="C51" s="263">
        <f>D51+E51+F51+G51</f>
        <v>1196.0999999999999</v>
      </c>
      <c r="D51" s="263">
        <v>5</v>
      </c>
      <c r="E51" s="263"/>
      <c r="F51" s="264">
        <v>91.1</v>
      </c>
      <c r="G51" s="263">
        <v>1100</v>
      </c>
      <c r="H51" s="1"/>
      <c r="I51" s="1"/>
      <c r="J51" s="1"/>
      <c r="L51" s="1"/>
      <c r="N51" s="1"/>
    </row>
    <row r="52" spans="1:14" x14ac:dyDescent="0.25">
      <c r="A52" s="267"/>
      <c r="B52" s="274" t="s">
        <v>884</v>
      </c>
      <c r="C52" s="263">
        <f>SUM(C11:C51)</f>
        <v>4411.7000000000007</v>
      </c>
      <c r="D52" s="263">
        <f t="shared" ref="D52:G52" si="1">SUM(D11:D51)</f>
        <v>1192.6000000000001</v>
      </c>
      <c r="E52" s="263">
        <f t="shared" si="1"/>
        <v>1957.2</v>
      </c>
      <c r="F52" s="263">
        <f t="shared" si="1"/>
        <v>161.89999999999998</v>
      </c>
      <c r="G52" s="263">
        <f t="shared" si="1"/>
        <v>1100</v>
      </c>
    </row>
    <row r="53" spans="1:14" x14ac:dyDescent="0.25">
      <c r="C53" s="478"/>
      <c r="D53" s="478"/>
    </row>
    <row r="54" spans="1:14" x14ac:dyDescent="0.25">
      <c r="C54" s="309"/>
      <c r="D54" s="309"/>
    </row>
    <row r="55" spans="1:14" x14ac:dyDescent="0.25">
      <c r="C55" s="309"/>
      <c r="D55" s="309"/>
    </row>
  </sheetData>
  <mergeCells count="6">
    <mergeCell ref="A6:F7"/>
    <mergeCell ref="A8:C8"/>
    <mergeCell ref="F8:G8"/>
    <mergeCell ref="C1:G1"/>
    <mergeCell ref="C2:G2"/>
    <mergeCell ref="C3:G3"/>
  </mergeCells>
  <pageMargins left="0.70866141732283472" right="0.70866141732283472" top="0.74803149606299213" bottom="0.669291338582677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4"/>
  <sheetViews>
    <sheetView workbookViewId="0"/>
  </sheetViews>
  <sheetFormatPr defaultColWidth="9.140625" defaultRowHeight="12" x14ac:dyDescent="0.2"/>
  <cols>
    <col min="1" max="1" width="9.7109375" style="275" customWidth="1"/>
    <col min="2" max="3" width="3.85546875" style="275" customWidth="1"/>
    <col min="4" max="4" width="3.42578125" style="275" customWidth="1"/>
    <col min="5" max="5" width="4.42578125" style="275" customWidth="1"/>
    <col min="6" max="7" width="4.28515625" style="275" customWidth="1"/>
    <col min="8" max="8" width="4.85546875" style="275" customWidth="1"/>
    <col min="9" max="9" width="4.42578125" style="275" customWidth="1"/>
    <col min="10" max="10" width="4.85546875" style="275" customWidth="1"/>
    <col min="11" max="11" width="4.28515625" style="275" customWidth="1"/>
    <col min="12" max="12" width="5.140625" style="275" customWidth="1"/>
    <col min="13" max="13" width="4.28515625" style="275" customWidth="1"/>
    <col min="14" max="14" width="3.42578125" style="275" customWidth="1"/>
    <col min="15" max="15" width="3.85546875" style="275" customWidth="1"/>
    <col min="16" max="16" width="3.42578125" style="275" customWidth="1"/>
    <col min="17" max="17" width="4.7109375" style="275" customWidth="1"/>
    <col min="18" max="18" width="5.85546875" style="275" customWidth="1"/>
    <col min="19" max="19" width="4.7109375" style="275" customWidth="1"/>
    <col min="20" max="20" width="6.140625" style="275" customWidth="1"/>
    <col min="21" max="21" width="4.140625" style="275" customWidth="1"/>
    <col min="22" max="22" width="3.7109375" style="275" customWidth="1"/>
    <col min="23" max="23" width="4.42578125" style="275" customWidth="1"/>
    <col min="24" max="24" width="5.28515625" style="275" customWidth="1"/>
    <col min="25" max="25" width="6.7109375" style="275" customWidth="1"/>
    <col min="26" max="26" width="6.28515625" style="275" customWidth="1"/>
    <col min="27" max="16384" width="9.140625" style="275"/>
  </cols>
  <sheetData>
    <row r="1" spans="1:28" ht="12.75" customHeight="1" x14ac:dyDescent="0.25">
      <c r="F1" s="276"/>
      <c r="P1" s="277"/>
      <c r="Q1" s="277"/>
      <c r="S1" s="277" t="s">
        <v>0</v>
      </c>
      <c r="T1" s="277"/>
      <c r="U1" s="277"/>
      <c r="V1" s="277"/>
      <c r="W1" s="277"/>
      <c r="X1" s="277"/>
      <c r="Y1" s="277"/>
      <c r="Z1" s="277"/>
    </row>
    <row r="2" spans="1:28" ht="12.75" customHeight="1" x14ac:dyDescent="0.25">
      <c r="F2" s="276"/>
      <c r="G2" s="276"/>
      <c r="H2" s="276"/>
      <c r="I2" s="276"/>
      <c r="J2" s="278"/>
      <c r="P2" s="277"/>
      <c r="Q2" s="277"/>
      <c r="S2" s="277" t="s">
        <v>850</v>
      </c>
      <c r="T2" s="277"/>
      <c r="U2" s="277"/>
      <c r="V2" s="277"/>
      <c r="W2" s="277"/>
      <c r="X2" s="277"/>
      <c r="Z2" s="277"/>
    </row>
    <row r="3" spans="1:28" ht="24.75" customHeight="1" x14ac:dyDescent="0.25">
      <c r="F3" s="276"/>
      <c r="G3" s="276"/>
      <c r="H3" s="276"/>
      <c r="I3" s="276"/>
      <c r="J3" s="278"/>
      <c r="P3" s="277"/>
      <c r="Q3" s="277"/>
      <c r="S3" s="509" t="s">
        <v>951</v>
      </c>
      <c r="T3" s="509"/>
      <c r="U3" s="509"/>
      <c r="V3" s="509"/>
      <c r="W3" s="509"/>
      <c r="X3" s="509"/>
      <c r="Y3" s="509"/>
      <c r="Z3" s="509"/>
    </row>
    <row r="4" spans="1:28" ht="12.75" customHeight="1" x14ac:dyDescent="0.25">
      <c r="F4" s="278"/>
      <c r="G4" s="278"/>
      <c r="H4" s="278"/>
      <c r="I4" s="278"/>
      <c r="J4" s="278"/>
      <c r="P4" s="277"/>
      <c r="Q4" s="277"/>
      <c r="S4" s="275" t="s">
        <v>885</v>
      </c>
      <c r="T4" s="1"/>
      <c r="V4" s="279"/>
      <c r="W4" s="279"/>
      <c r="X4" s="507"/>
      <c r="Y4" s="507"/>
      <c r="Z4" s="279"/>
    </row>
    <row r="5" spans="1:28" x14ac:dyDescent="0.2">
      <c r="A5" s="508" t="s">
        <v>886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</row>
    <row r="6" spans="1:28" ht="27" customHeight="1" x14ac:dyDescent="0.2">
      <c r="A6" s="508"/>
      <c r="B6" s="508"/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8"/>
      <c r="V6" s="508"/>
      <c r="W6" s="508"/>
      <c r="X6" s="508"/>
      <c r="Y6" s="508"/>
      <c r="Z6" s="508"/>
    </row>
    <row r="7" spans="1:28" ht="12.75" x14ac:dyDescent="0.2">
      <c r="Z7" s="280" t="s">
        <v>93</v>
      </c>
    </row>
    <row r="8" spans="1:28" ht="198.75" customHeight="1" x14ac:dyDescent="0.2">
      <c r="A8" s="281" t="s">
        <v>876</v>
      </c>
      <c r="B8" s="282" t="s">
        <v>887</v>
      </c>
      <c r="C8" s="282" t="s">
        <v>888</v>
      </c>
      <c r="D8" s="282" t="s">
        <v>889</v>
      </c>
      <c r="E8" s="282" t="s">
        <v>890</v>
      </c>
      <c r="F8" s="282" t="s">
        <v>891</v>
      </c>
      <c r="G8" s="282" t="s">
        <v>892</v>
      </c>
      <c r="H8" s="282" t="s">
        <v>893</v>
      </c>
      <c r="I8" s="282" t="s">
        <v>894</v>
      </c>
      <c r="J8" s="282" t="s">
        <v>895</v>
      </c>
      <c r="K8" s="282" t="s">
        <v>896</v>
      </c>
      <c r="L8" s="282" t="s">
        <v>897</v>
      </c>
      <c r="M8" s="282" t="s">
        <v>898</v>
      </c>
      <c r="N8" s="282" t="s">
        <v>899</v>
      </c>
      <c r="O8" s="282" t="s">
        <v>900</v>
      </c>
      <c r="P8" s="282" t="s">
        <v>901</v>
      </c>
      <c r="Q8" s="283" t="s">
        <v>902</v>
      </c>
      <c r="R8" s="283" t="s">
        <v>903</v>
      </c>
      <c r="S8" s="283" t="s">
        <v>904</v>
      </c>
      <c r="T8" s="282" t="s">
        <v>905</v>
      </c>
      <c r="U8" s="282" t="s">
        <v>906</v>
      </c>
      <c r="V8" s="282" t="s">
        <v>907</v>
      </c>
      <c r="W8" s="282" t="s">
        <v>908</v>
      </c>
      <c r="X8" s="282" t="s">
        <v>909</v>
      </c>
      <c r="Y8" s="282" t="s">
        <v>910</v>
      </c>
      <c r="Z8" s="281" t="s">
        <v>94</v>
      </c>
    </row>
    <row r="9" spans="1:28" ht="28.9" customHeight="1" x14ac:dyDescent="0.2">
      <c r="A9" s="284" t="s">
        <v>911</v>
      </c>
      <c r="B9" s="285">
        <v>1</v>
      </c>
      <c r="C9" s="285">
        <v>33.1</v>
      </c>
      <c r="D9" s="286">
        <v>43.3</v>
      </c>
      <c r="E9" s="286"/>
      <c r="F9" s="285">
        <f>236+14.9</f>
        <v>250.9</v>
      </c>
      <c r="G9" s="286">
        <v>8.5</v>
      </c>
      <c r="H9" s="285">
        <v>202</v>
      </c>
      <c r="I9" s="285">
        <v>455</v>
      </c>
      <c r="J9" s="287">
        <v>0.17399999999999999</v>
      </c>
      <c r="K9" s="286">
        <v>17.399999999999999</v>
      </c>
      <c r="L9" s="285">
        <f>31.5+226.4</f>
        <v>257.89999999999998</v>
      </c>
      <c r="M9" s="285">
        <v>27.2</v>
      </c>
      <c r="N9" s="285">
        <v>9.8000000000000007</v>
      </c>
      <c r="O9" s="285">
        <v>8.9</v>
      </c>
      <c r="P9" s="288">
        <v>0.4</v>
      </c>
      <c r="Q9" s="289">
        <f>820.3+68</f>
        <v>888.3</v>
      </c>
      <c r="R9" s="289">
        <f>932+49.4</f>
        <v>981.4</v>
      </c>
      <c r="S9" s="290"/>
      <c r="T9" s="286"/>
      <c r="U9" s="286">
        <v>9.1</v>
      </c>
      <c r="V9" s="285">
        <v>6</v>
      </c>
      <c r="W9" s="286">
        <f>54.8+50</f>
        <v>104.8</v>
      </c>
      <c r="X9" s="287">
        <v>81.025000000000006</v>
      </c>
      <c r="Y9" s="287">
        <v>20.963000000000001</v>
      </c>
      <c r="Z9" s="291">
        <f>SUM(B9:Y9)</f>
        <v>3407.1620000000003</v>
      </c>
    </row>
    <row r="10" spans="1:28" ht="36.75" customHeight="1" x14ac:dyDescent="0.2">
      <c r="A10" s="292" t="s">
        <v>912</v>
      </c>
      <c r="B10" s="293"/>
      <c r="C10" s="293"/>
      <c r="D10" s="293"/>
      <c r="E10" s="293">
        <v>798.6</v>
      </c>
      <c r="F10" s="294"/>
      <c r="G10" s="294"/>
      <c r="H10" s="295"/>
      <c r="I10" s="294"/>
      <c r="J10" s="294"/>
      <c r="K10" s="295"/>
      <c r="L10" s="294"/>
      <c r="M10" s="294"/>
      <c r="N10" s="294"/>
      <c r="O10" s="295"/>
      <c r="P10" s="296"/>
      <c r="Q10" s="294"/>
      <c r="R10" s="294"/>
      <c r="S10" s="294"/>
      <c r="T10" s="294"/>
      <c r="U10" s="294"/>
      <c r="V10" s="297"/>
      <c r="W10" s="294"/>
      <c r="X10" s="294"/>
      <c r="Y10" s="294"/>
      <c r="Z10" s="289">
        <f>SUM(B10:Y10)</f>
        <v>798.6</v>
      </c>
    </row>
    <row r="11" spans="1:28" ht="42.75" customHeight="1" x14ac:dyDescent="0.2">
      <c r="A11" s="298" t="s">
        <v>880</v>
      </c>
      <c r="B11" s="299"/>
      <c r="C11" s="300"/>
      <c r="D11" s="300"/>
      <c r="E11" s="299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1"/>
      <c r="Q11" s="300"/>
      <c r="R11" s="300"/>
      <c r="S11" s="299">
        <v>545.29999999999995</v>
      </c>
      <c r="T11" s="299">
        <f>122.2+18</f>
        <v>140.19999999999999</v>
      </c>
      <c r="U11" s="300"/>
      <c r="V11" s="302"/>
      <c r="W11" s="300"/>
      <c r="X11" s="300"/>
      <c r="Y11" s="300"/>
      <c r="Z11" s="289">
        <f>SUM(B11:Y11)</f>
        <v>685.5</v>
      </c>
    </row>
    <row r="12" spans="1:28" ht="32.25" customHeight="1" x14ac:dyDescent="0.2">
      <c r="A12" s="298" t="s">
        <v>913</v>
      </c>
      <c r="B12" s="299"/>
      <c r="C12" s="300"/>
      <c r="D12" s="300"/>
      <c r="E12" s="299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1"/>
      <c r="Q12" s="300"/>
      <c r="R12" s="299">
        <v>463.7</v>
      </c>
      <c r="S12" s="299"/>
      <c r="T12" s="299"/>
      <c r="U12" s="300"/>
      <c r="V12" s="302"/>
      <c r="W12" s="300"/>
      <c r="X12" s="300"/>
      <c r="Y12" s="300"/>
      <c r="Z12" s="289">
        <f>SUM(B12:Y12)</f>
        <v>463.7</v>
      </c>
    </row>
    <row r="13" spans="1:28" x14ac:dyDescent="0.2">
      <c r="A13" s="303" t="s">
        <v>94</v>
      </c>
      <c r="B13" s="294">
        <f t="shared" ref="B13:Y13" si="0">B9+B10+B11+B12</f>
        <v>1</v>
      </c>
      <c r="C13" s="294">
        <f t="shared" si="0"/>
        <v>33.1</v>
      </c>
      <c r="D13" s="294">
        <f t="shared" si="0"/>
        <v>43.3</v>
      </c>
      <c r="E13" s="294">
        <f t="shared" si="0"/>
        <v>798.6</v>
      </c>
      <c r="F13" s="294">
        <f t="shared" si="0"/>
        <v>250.9</v>
      </c>
      <c r="G13" s="304">
        <f t="shared" si="0"/>
        <v>8.5</v>
      </c>
      <c r="H13" s="294">
        <f t="shared" si="0"/>
        <v>202</v>
      </c>
      <c r="I13" s="294">
        <f t="shared" si="0"/>
        <v>455</v>
      </c>
      <c r="J13" s="295">
        <f t="shared" si="0"/>
        <v>0.17399999999999999</v>
      </c>
      <c r="K13" s="294">
        <f t="shared" si="0"/>
        <v>17.399999999999999</v>
      </c>
      <c r="L13" s="294">
        <f t="shared" si="0"/>
        <v>257.89999999999998</v>
      </c>
      <c r="M13" s="294">
        <f t="shared" si="0"/>
        <v>27.2</v>
      </c>
      <c r="N13" s="294">
        <f t="shared" si="0"/>
        <v>9.8000000000000007</v>
      </c>
      <c r="O13" s="294">
        <f t="shared" si="0"/>
        <v>8.9</v>
      </c>
      <c r="P13" s="294">
        <f t="shared" si="0"/>
        <v>0.4</v>
      </c>
      <c r="Q13" s="294">
        <f t="shared" si="0"/>
        <v>888.3</v>
      </c>
      <c r="R13" s="294">
        <f t="shared" si="0"/>
        <v>1445.1</v>
      </c>
      <c r="S13" s="294">
        <f t="shared" si="0"/>
        <v>545.29999999999995</v>
      </c>
      <c r="T13" s="294">
        <f t="shared" si="0"/>
        <v>140.19999999999999</v>
      </c>
      <c r="U13" s="294">
        <f t="shared" si="0"/>
        <v>9.1</v>
      </c>
      <c r="V13" s="297">
        <f t="shared" si="0"/>
        <v>6</v>
      </c>
      <c r="W13" s="294">
        <f t="shared" si="0"/>
        <v>104.8</v>
      </c>
      <c r="X13" s="295">
        <f t="shared" si="0"/>
        <v>81.025000000000006</v>
      </c>
      <c r="Y13" s="295">
        <f t="shared" si="0"/>
        <v>20.963000000000001</v>
      </c>
      <c r="Z13" s="305">
        <f>SUM(B13:Y13)</f>
        <v>5354.9620000000004</v>
      </c>
      <c r="AB13" s="306"/>
    </row>
    <row r="14" spans="1:28" x14ac:dyDescent="0.2">
      <c r="L14" s="307"/>
      <c r="M14" s="307"/>
      <c r="N14" s="307"/>
      <c r="O14" s="307"/>
      <c r="P14" s="307"/>
      <c r="Q14" s="307"/>
    </row>
  </sheetData>
  <mergeCells count="3">
    <mergeCell ref="X4:Y4"/>
    <mergeCell ref="A5:Z6"/>
    <mergeCell ref="S3:Z3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89"/>
  <sheetViews>
    <sheetView tabSelected="1" zoomScale="101" zoomScaleNormal="101" workbookViewId="0"/>
  </sheetViews>
  <sheetFormatPr defaultColWidth="9.140625" defaultRowHeight="12" x14ac:dyDescent="0.2"/>
  <cols>
    <col min="1" max="1" width="10.42578125" style="83" customWidth="1"/>
    <col min="2" max="2" width="42" style="83" customWidth="1"/>
    <col min="3" max="3" width="6.28515625" style="83" customWidth="1"/>
    <col min="4" max="4" width="12" style="83" customWidth="1"/>
    <col min="5" max="5" width="16.7109375" style="83" customWidth="1"/>
    <col min="6" max="6" width="9.140625" style="83"/>
    <col min="7" max="8" width="0" style="83" hidden="1" customWidth="1"/>
    <col min="9" max="16384" width="9.140625" style="83"/>
  </cols>
  <sheetData>
    <row r="1" spans="1:5" ht="13.5" customHeight="1" x14ac:dyDescent="0.2">
      <c r="A1" s="493"/>
      <c r="B1" s="493"/>
      <c r="C1" s="128" t="s">
        <v>0</v>
      </c>
      <c r="D1" s="94"/>
      <c r="E1" s="128"/>
    </row>
    <row r="2" spans="1:5" ht="13.5" customHeight="1" x14ac:dyDescent="0.2">
      <c r="A2" s="493"/>
      <c r="B2" s="493"/>
      <c r="C2" s="128" t="s">
        <v>850</v>
      </c>
      <c r="D2" s="94"/>
      <c r="E2" s="128"/>
    </row>
    <row r="3" spans="1:5" ht="25.15" customHeight="1" x14ac:dyDescent="0.2">
      <c r="A3" s="493"/>
      <c r="B3" s="493"/>
      <c r="C3" s="511" t="s">
        <v>952</v>
      </c>
      <c r="D3" s="511"/>
      <c r="E3" s="511"/>
    </row>
    <row r="4" spans="1:5" ht="15" customHeight="1" x14ac:dyDescent="0.2">
      <c r="A4" s="84"/>
      <c r="B4" s="84"/>
      <c r="C4" s="512" t="s">
        <v>163</v>
      </c>
      <c r="D4" s="512"/>
      <c r="E4" s="512"/>
    </row>
    <row r="5" spans="1:5" ht="15.75" customHeight="1" x14ac:dyDescent="0.2">
      <c r="A5" s="510" t="s">
        <v>164</v>
      </c>
      <c r="B5" s="510"/>
      <c r="C5" s="510"/>
      <c r="D5" s="510"/>
      <c r="E5" s="510"/>
    </row>
    <row r="6" spans="1:5" x14ac:dyDescent="0.2">
      <c r="A6" s="84"/>
      <c r="B6" s="84"/>
      <c r="C6" s="84"/>
      <c r="E6" s="485" t="s">
        <v>93</v>
      </c>
    </row>
    <row r="7" spans="1:5" ht="58.5" customHeight="1" x14ac:dyDescent="0.2">
      <c r="A7" s="95" t="s">
        <v>2</v>
      </c>
      <c r="B7" s="85" t="s">
        <v>165</v>
      </c>
      <c r="C7" s="86" t="s">
        <v>166</v>
      </c>
      <c r="D7" s="87" t="s">
        <v>94</v>
      </c>
      <c r="E7" s="121" t="s">
        <v>167</v>
      </c>
    </row>
    <row r="8" spans="1:5" x14ac:dyDescent="0.2">
      <c r="A8" s="96">
        <v>1</v>
      </c>
      <c r="B8" s="88">
        <v>2</v>
      </c>
      <c r="C8" s="89">
        <v>3</v>
      </c>
      <c r="D8" s="120">
        <v>4</v>
      </c>
      <c r="E8" s="90">
        <v>5</v>
      </c>
    </row>
    <row r="9" spans="1:5" x14ac:dyDescent="0.2">
      <c r="A9" s="322" t="s">
        <v>5</v>
      </c>
      <c r="B9" s="323" t="s">
        <v>95</v>
      </c>
      <c r="C9" s="324"/>
      <c r="D9" s="203">
        <f>SUM(D11+D17)</f>
        <v>2201.8519999999999</v>
      </c>
      <c r="E9" s="310">
        <f>SUM(E11+E17)</f>
        <v>1828.8520000000001</v>
      </c>
    </row>
    <row r="10" spans="1:5" x14ac:dyDescent="0.2">
      <c r="A10" s="325"/>
      <c r="B10" s="326" t="s">
        <v>168</v>
      </c>
      <c r="C10" s="327"/>
      <c r="D10" s="136"/>
      <c r="E10" s="137"/>
    </row>
    <row r="11" spans="1:5" x14ac:dyDescent="0.2">
      <c r="A11" s="325" t="s">
        <v>7</v>
      </c>
      <c r="B11" s="328" t="s">
        <v>169</v>
      </c>
      <c r="C11" s="155" t="s">
        <v>170</v>
      </c>
      <c r="D11" s="205">
        <f>SUM(D12:D16)</f>
        <v>2185.8519999999999</v>
      </c>
      <c r="E11" s="206">
        <f>SUM(E12:E16)</f>
        <v>1822.3520000000001</v>
      </c>
    </row>
    <row r="12" spans="1:5" x14ac:dyDescent="0.2">
      <c r="A12" s="325" t="s">
        <v>171</v>
      </c>
      <c r="B12" s="329" t="s">
        <v>172</v>
      </c>
      <c r="C12" s="155"/>
      <c r="D12" s="136">
        <f>477.1+23+34.9</f>
        <v>535</v>
      </c>
      <c r="E12" s="137">
        <v>312.5</v>
      </c>
    </row>
    <row r="13" spans="1:5" ht="14.25" customHeight="1" x14ac:dyDescent="0.2">
      <c r="A13" s="330" t="s">
        <v>173</v>
      </c>
      <c r="B13" s="331" t="s">
        <v>174</v>
      </c>
      <c r="C13" s="327"/>
      <c r="D13" s="136">
        <v>1571.5</v>
      </c>
      <c r="E13" s="137">
        <v>1487.1</v>
      </c>
    </row>
    <row r="14" spans="1:5" x14ac:dyDescent="0.2">
      <c r="A14" s="325" t="s">
        <v>175</v>
      </c>
      <c r="B14" s="332" t="s">
        <v>176</v>
      </c>
      <c r="C14" s="333"/>
      <c r="D14" s="136">
        <v>1.5</v>
      </c>
      <c r="E14" s="137">
        <v>1.5</v>
      </c>
    </row>
    <row r="15" spans="1:5" x14ac:dyDescent="0.2">
      <c r="A15" s="325" t="s">
        <v>177</v>
      </c>
      <c r="B15" s="332" t="s">
        <v>178</v>
      </c>
      <c r="C15" s="333"/>
      <c r="D15" s="136">
        <v>77.5</v>
      </c>
      <c r="E15" s="137">
        <v>20.9</v>
      </c>
    </row>
    <row r="16" spans="1:5" ht="36" customHeight="1" x14ac:dyDescent="0.2">
      <c r="A16" s="224" t="s">
        <v>914</v>
      </c>
      <c r="B16" s="334" t="s">
        <v>915</v>
      </c>
      <c r="C16" s="335"/>
      <c r="D16" s="188">
        <f>0.176+0.176</f>
        <v>0.35199999999999998</v>
      </c>
      <c r="E16" s="188">
        <f>0.176+0.176</f>
        <v>0.35199999999999998</v>
      </c>
    </row>
    <row r="17" spans="1:13" ht="24" x14ac:dyDescent="0.2">
      <c r="A17" s="336" t="s">
        <v>9</v>
      </c>
      <c r="B17" s="337" t="s">
        <v>179</v>
      </c>
      <c r="C17" s="338" t="s">
        <v>332</v>
      </c>
      <c r="D17" s="175">
        <f>SUM(D18)</f>
        <v>16</v>
      </c>
      <c r="E17" s="174">
        <f>SUM(E18)</f>
        <v>6.5</v>
      </c>
    </row>
    <row r="18" spans="1:13" x14ac:dyDescent="0.2">
      <c r="A18" s="339" t="s">
        <v>11</v>
      </c>
      <c r="B18" s="340" t="s">
        <v>172</v>
      </c>
      <c r="C18" s="341"/>
      <c r="D18" s="176">
        <v>16</v>
      </c>
      <c r="E18" s="177">
        <v>6.5</v>
      </c>
    </row>
    <row r="19" spans="1:13" x14ac:dyDescent="0.2">
      <c r="A19" s="342" t="s">
        <v>21</v>
      </c>
      <c r="B19" s="343" t="s">
        <v>180</v>
      </c>
      <c r="C19" s="327"/>
      <c r="D19" s="209">
        <f>SUM(D21+D28)</f>
        <v>3042.9720000000002</v>
      </c>
      <c r="E19" s="311">
        <f>SUM(E21+E28)</f>
        <v>2445.0720000000001</v>
      </c>
    </row>
    <row r="20" spans="1:13" x14ac:dyDescent="0.2">
      <c r="A20" s="325"/>
      <c r="B20" s="344" t="s">
        <v>168</v>
      </c>
      <c r="C20" s="327"/>
      <c r="D20" s="207"/>
      <c r="E20" s="188"/>
    </row>
    <row r="21" spans="1:13" x14ac:dyDescent="0.2">
      <c r="A21" s="336" t="s">
        <v>23</v>
      </c>
      <c r="B21" s="345" t="s">
        <v>169</v>
      </c>
      <c r="C21" s="155" t="s">
        <v>170</v>
      </c>
      <c r="D21" s="205">
        <f>SUM(D22:D27)</f>
        <v>3022.672</v>
      </c>
      <c r="E21" s="206">
        <f>SUM(E22:E27)</f>
        <v>2437.0720000000001</v>
      </c>
    </row>
    <row r="22" spans="1:13" x14ac:dyDescent="0.2">
      <c r="A22" s="336" t="s">
        <v>25</v>
      </c>
      <c r="B22" s="346" t="s">
        <v>172</v>
      </c>
      <c r="C22" s="155"/>
      <c r="D22" s="136">
        <f>876.8+207.9</f>
        <v>1084.7</v>
      </c>
      <c r="E22" s="137">
        <v>628.5</v>
      </c>
    </row>
    <row r="23" spans="1:13" ht="12.75" customHeight="1" x14ac:dyDescent="0.2">
      <c r="A23" s="347" t="s">
        <v>27</v>
      </c>
      <c r="B23" s="318" t="s">
        <v>174</v>
      </c>
      <c r="C23" s="348"/>
      <c r="D23" s="136">
        <v>1809.8</v>
      </c>
      <c r="E23" s="137">
        <v>1720.5</v>
      </c>
    </row>
    <row r="24" spans="1:13" ht="24" x14ac:dyDescent="0.2">
      <c r="A24" s="347" t="s">
        <v>181</v>
      </c>
      <c r="B24" s="349" t="s">
        <v>182</v>
      </c>
      <c r="C24" s="348"/>
      <c r="D24" s="136">
        <v>78.5</v>
      </c>
      <c r="E24" s="137">
        <v>77.400000000000006</v>
      </c>
    </row>
    <row r="25" spans="1:13" ht="12.75" customHeight="1" x14ac:dyDescent="0.2">
      <c r="A25" s="347" t="s">
        <v>183</v>
      </c>
      <c r="B25" s="350" t="s">
        <v>176</v>
      </c>
      <c r="C25" s="348"/>
      <c r="D25" s="136">
        <v>1.5</v>
      </c>
      <c r="E25" s="180">
        <v>1.5</v>
      </c>
      <c r="M25" s="91"/>
    </row>
    <row r="26" spans="1:13" ht="12.75" customHeight="1" x14ac:dyDescent="0.2">
      <c r="A26" s="347" t="s">
        <v>184</v>
      </c>
      <c r="B26" s="350" t="s">
        <v>178</v>
      </c>
      <c r="C26" s="348"/>
      <c r="D26" s="136">
        <v>39</v>
      </c>
      <c r="E26" s="137"/>
      <c r="M26" s="91"/>
    </row>
    <row r="27" spans="1:13" ht="37.5" customHeight="1" x14ac:dyDescent="0.2">
      <c r="A27" s="351" t="s">
        <v>916</v>
      </c>
      <c r="B27" s="334" t="s">
        <v>915</v>
      </c>
      <c r="C27" s="335"/>
      <c r="D27" s="207">
        <f>1.356+2.764+5.052</f>
        <v>9.1720000000000006</v>
      </c>
      <c r="E27" s="188">
        <f>1.356+2.764+5.052</f>
        <v>9.1720000000000006</v>
      </c>
      <c r="M27" s="91"/>
    </row>
    <row r="28" spans="1:13" ht="24.75" customHeight="1" x14ac:dyDescent="0.2">
      <c r="A28" s="347" t="s">
        <v>29</v>
      </c>
      <c r="B28" s="337" t="s">
        <v>179</v>
      </c>
      <c r="C28" s="352" t="s">
        <v>332</v>
      </c>
      <c r="D28" s="173">
        <f>SUM(D29)</f>
        <v>20.3</v>
      </c>
      <c r="E28" s="174">
        <f>SUM(E29)</f>
        <v>8</v>
      </c>
      <c r="M28" s="91"/>
    </row>
    <row r="29" spans="1:13" x14ac:dyDescent="0.2">
      <c r="A29" s="336" t="s">
        <v>31</v>
      </c>
      <c r="B29" s="346" t="s">
        <v>172</v>
      </c>
      <c r="C29" s="327"/>
      <c r="D29" s="136">
        <f>17.3+3</f>
        <v>20.3</v>
      </c>
      <c r="E29" s="177">
        <f>5+3</f>
        <v>8</v>
      </c>
    </row>
    <row r="30" spans="1:13" s="92" customFormat="1" x14ac:dyDescent="0.2">
      <c r="A30" s="353" t="s">
        <v>58</v>
      </c>
      <c r="B30" s="354" t="s">
        <v>96</v>
      </c>
      <c r="C30" s="355"/>
      <c r="D30" s="203">
        <f>SUM(D32+D38+D40)</f>
        <v>2498.4319999999998</v>
      </c>
      <c r="E30" s="310">
        <f>SUM(E32+E38)</f>
        <v>1997.5319999999999</v>
      </c>
    </row>
    <row r="31" spans="1:13" x14ac:dyDescent="0.2">
      <c r="A31" s="356"/>
      <c r="B31" s="344" t="s">
        <v>168</v>
      </c>
      <c r="C31" s="327"/>
      <c r="D31" s="209"/>
      <c r="E31" s="188"/>
    </row>
    <row r="32" spans="1:13" x14ac:dyDescent="0.2">
      <c r="A32" s="356" t="s">
        <v>60</v>
      </c>
      <c r="B32" s="357" t="s">
        <v>169</v>
      </c>
      <c r="C32" s="155" t="s">
        <v>170</v>
      </c>
      <c r="D32" s="205">
        <f>SUM(D33:D37)</f>
        <v>2396.3319999999999</v>
      </c>
      <c r="E32" s="206">
        <f>SUM(E33:E37)</f>
        <v>1991.932</v>
      </c>
    </row>
    <row r="33" spans="1:5" x14ac:dyDescent="0.2">
      <c r="A33" s="356" t="s">
        <v>185</v>
      </c>
      <c r="B33" s="358" t="s">
        <v>172</v>
      </c>
      <c r="C33" s="155"/>
      <c r="D33" s="136">
        <f>1067.6+1.8+17.3</f>
        <v>1086.6999999999998</v>
      </c>
      <c r="E33" s="137">
        <v>803</v>
      </c>
    </row>
    <row r="34" spans="1:5" ht="12" customHeight="1" x14ac:dyDescent="0.2">
      <c r="A34" s="359" t="s">
        <v>186</v>
      </c>
      <c r="B34" s="239" t="s">
        <v>174</v>
      </c>
      <c r="C34" s="327"/>
      <c r="D34" s="136">
        <v>1206.0999999999999</v>
      </c>
      <c r="E34" s="137">
        <v>1159.5</v>
      </c>
    </row>
    <row r="35" spans="1:5" x14ac:dyDescent="0.2">
      <c r="A35" s="359" t="s">
        <v>187</v>
      </c>
      <c r="B35" s="239" t="s">
        <v>188</v>
      </c>
      <c r="C35" s="327"/>
      <c r="D35" s="136">
        <v>1.5</v>
      </c>
      <c r="E35" s="137">
        <v>1.5</v>
      </c>
    </row>
    <row r="36" spans="1:5" x14ac:dyDescent="0.2">
      <c r="A36" s="359" t="s">
        <v>189</v>
      </c>
      <c r="B36" s="239" t="s">
        <v>178</v>
      </c>
      <c r="C36" s="327"/>
      <c r="D36" s="136">
        <v>85.4</v>
      </c>
      <c r="E36" s="137">
        <v>11.3</v>
      </c>
    </row>
    <row r="37" spans="1:5" ht="34.5" customHeight="1" x14ac:dyDescent="0.2">
      <c r="A37" s="229" t="s">
        <v>917</v>
      </c>
      <c r="B37" s="334" t="s">
        <v>915</v>
      </c>
      <c r="C37" s="327"/>
      <c r="D37" s="188">
        <f>4.212+4.388+8.032</f>
        <v>16.631999999999998</v>
      </c>
      <c r="E37" s="188">
        <f>4.212+4.388+8.032</f>
        <v>16.631999999999998</v>
      </c>
    </row>
    <row r="38" spans="1:5" ht="24" x14ac:dyDescent="0.2">
      <c r="A38" s="359" t="s">
        <v>62</v>
      </c>
      <c r="B38" s="360" t="s">
        <v>179</v>
      </c>
      <c r="C38" s="361" t="s">
        <v>332</v>
      </c>
      <c r="D38" s="174">
        <f>SUM(D39)</f>
        <v>12.2</v>
      </c>
      <c r="E38" s="174">
        <f>SUM(E39)</f>
        <v>5.6</v>
      </c>
    </row>
    <row r="39" spans="1:5" x14ac:dyDescent="0.2">
      <c r="A39" s="356" t="s">
        <v>190</v>
      </c>
      <c r="B39" s="358" t="s">
        <v>172</v>
      </c>
      <c r="C39" s="362"/>
      <c r="D39" s="137">
        <v>12.2</v>
      </c>
      <c r="E39" s="137">
        <v>5.6</v>
      </c>
    </row>
    <row r="40" spans="1:5" ht="22.15" customHeight="1" x14ac:dyDescent="0.2">
      <c r="A40" s="224" t="s">
        <v>64</v>
      </c>
      <c r="B40" s="363" t="s">
        <v>526</v>
      </c>
      <c r="C40" s="364" t="s">
        <v>540</v>
      </c>
      <c r="D40" s="174">
        <f>SUM(D41)</f>
        <v>89.9</v>
      </c>
      <c r="E40" s="174"/>
    </row>
    <row r="41" spans="1:5" x14ac:dyDescent="0.2">
      <c r="A41" s="224" t="s">
        <v>842</v>
      </c>
      <c r="B41" s="358" t="s">
        <v>172</v>
      </c>
      <c r="C41" s="344"/>
      <c r="D41" s="161">
        <v>89.9</v>
      </c>
      <c r="E41" s="181"/>
    </row>
    <row r="42" spans="1:5" s="92" customFormat="1" x14ac:dyDescent="0.2">
      <c r="A42" s="353" t="s">
        <v>70</v>
      </c>
      <c r="B42" s="354" t="s">
        <v>97</v>
      </c>
      <c r="C42" s="354"/>
      <c r="D42" s="187">
        <f>SUM(D44+D50)</f>
        <v>1108.7520000000002</v>
      </c>
      <c r="E42" s="311">
        <f>SUM(E44+E50)</f>
        <v>910.952</v>
      </c>
    </row>
    <row r="43" spans="1:5" x14ac:dyDescent="0.2">
      <c r="A43" s="356"/>
      <c r="B43" s="344" t="s">
        <v>168</v>
      </c>
      <c r="C43" s="344"/>
      <c r="D43" s="315"/>
      <c r="E43" s="188"/>
    </row>
    <row r="44" spans="1:5" x14ac:dyDescent="0.2">
      <c r="A44" s="356" t="s">
        <v>72</v>
      </c>
      <c r="B44" s="357" t="s">
        <v>169</v>
      </c>
      <c r="C44" s="364" t="s">
        <v>170</v>
      </c>
      <c r="D44" s="316">
        <f>SUM(D45:D49)</f>
        <v>1094.8520000000001</v>
      </c>
      <c r="E44" s="206">
        <f>SUM(E45:E49)</f>
        <v>905.15200000000004</v>
      </c>
    </row>
    <row r="45" spans="1:5" x14ac:dyDescent="0.2">
      <c r="A45" s="356" t="s">
        <v>191</v>
      </c>
      <c r="B45" s="358" t="s">
        <v>172</v>
      </c>
      <c r="C45" s="364"/>
      <c r="D45" s="138">
        <f>485.3+9.2</f>
        <v>494.5</v>
      </c>
      <c r="E45" s="137">
        <v>348.5</v>
      </c>
    </row>
    <row r="46" spans="1:5" ht="12.75" customHeight="1" x14ac:dyDescent="0.2">
      <c r="A46" s="379" t="s">
        <v>192</v>
      </c>
      <c r="B46" s="239" t="s">
        <v>174</v>
      </c>
      <c r="C46" s="344"/>
      <c r="D46" s="138">
        <v>571.1</v>
      </c>
      <c r="E46" s="137">
        <v>551.20000000000005</v>
      </c>
    </row>
    <row r="47" spans="1:5" x14ac:dyDescent="0.2">
      <c r="A47" s="359" t="s">
        <v>193</v>
      </c>
      <c r="B47" s="239" t="s">
        <v>188</v>
      </c>
      <c r="C47" s="344"/>
      <c r="D47" s="138">
        <v>1.5</v>
      </c>
      <c r="E47" s="137">
        <v>1.5</v>
      </c>
    </row>
    <row r="48" spans="1:5" x14ac:dyDescent="0.2">
      <c r="A48" s="359" t="s">
        <v>194</v>
      </c>
      <c r="B48" s="239" t="s">
        <v>178</v>
      </c>
      <c r="C48" s="344"/>
      <c r="D48" s="138">
        <v>27.4</v>
      </c>
      <c r="E48" s="137">
        <v>3.6</v>
      </c>
    </row>
    <row r="49" spans="1:5" ht="35.25" customHeight="1" x14ac:dyDescent="0.2">
      <c r="A49" s="229" t="s">
        <v>953</v>
      </c>
      <c r="B49" s="239" t="s">
        <v>915</v>
      </c>
      <c r="C49" s="344"/>
      <c r="D49" s="479">
        <v>0.35199999999999998</v>
      </c>
      <c r="E49" s="188">
        <v>0.35199999999999998</v>
      </c>
    </row>
    <row r="50" spans="1:5" ht="24" x14ac:dyDescent="0.2">
      <c r="A50" s="359" t="s">
        <v>74</v>
      </c>
      <c r="B50" s="360" t="s">
        <v>179</v>
      </c>
      <c r="C50" s="364" t="s">
        <v>332</v>
      </c>
      <c r="D50" s="183">
        <f>SUM(D51)</f>
        <v>13.9</v>
      </c>
      <c r="E50" s="174">
        <f>SUM(E51)</f>
        <v>5.8</v>
      </c>
    </row>
    <row r="51" spans="1:5" x14ac:dyDescent="0.2">
      <c r="A51" s="356" t="s">
        <v>195</v>
      </c>
      <c r="B51" s="358" t="s">
        <v>172</v>
      </c>
      <c r="C51" s="344"/>
      <c r="D51" s="138">
        <v>13.9</v>
      </c>
      <c r="E51" s="137">
        <v>5.8</v>
      </c>
    </row>
    <row r="52" spans="1:5" s="92" customFormat="1" x14ac:dyDescent="0.2">
      <c r="A52" s="353" t="s">
        <v>82</v>
      </c>
      <c r="B52" s="354" t="s">
        <v>98</v>
      </c>
      <c r="C52" s="355"/>
      <c r="D52" s="203">
        <f>SUM(D54+D61)</f>
        <v>2392.4960000000001</v>
      </c>
      <c r="E52" s="310">
        <f>SUM(E54+E61)</f>
        <v>2090.0960000000005</v>
      </c>
    </row>
    <row r="53" spans="1:5" x14ac:dyDescent="0.2">
      <c r="A53" s="356"/>
      <c r="B53" s="344" t="s">
        <v>168</v>
      </c>
      <c r="C53" s="327"/>
      <c r="D53" s="209"/>
      <c r="E53" s="188"/>
    </row>
    <row r="54" spans="1:5" x14ac:dyDescent="0.2">
      <c r="A54" s="356" t="s">
        <v>196</v>
      </c>
      <c r="B54" s="357" t="s">
        <v>169</v>
      </c>
      <c r="C54" s="155" t="s">
        <v>170</v>
      </c>
      <c r="D54" s="205">
        <f>SUM(D55:D60)</f>
        <v>2373.096</v>
      </c>
      <c r="E54" s="206">
        <f>SUM(E55:E60)</f>
        <v>2083.2960000000003</v>
      </c>
    </row>
    <row r="55" spans="1:5" x14ac:dyDescent="0.2">
      <c r="A55" s="356" t="s">
        <v>197</v>
      </c>
      <c r="B55" s="358" t="s">
        <v>172</v>
      </c>
      <c r="C55" s="155"/>
      <c r="D55" s="136">
        <f>720.8+2.4+15.8</f>
        <v>738.99999999999989</v>
      </c>
      <c r="E55" s="137">
        <f>606.9-37.1</f>
        <v>569.79999999999995</v>
      </c>
    </row>
    <row r="56" spans="1:5" ht="12.75" customHeight="1" x14ac:dyDescent="0.2">
      <c r="A56" s="347" t="s">
        <v>198</v>
      </c>
      <c r="B56" s="318" t="s">
        <v>174</v>
      </c>
      <c r="C56" s="348"/>
      <c r="D56" s="136">
        <v>1556.6</v>
      </c>
      <c r="E56" s="137">
        <v>1476.9</v>
      </c>
    </row>
    <row r="57" spans="1:5" ht="24" x14ac:dyDescent="0.2">
      <c r="A57" s="347" t="s">
        <v>199</v>
      </c>
      <c r="B57" s="486" t="s">
        <v>182</v>
      </c>
      <c r="C57" s="348"/>
      <c r="D57" s="136">
        <v>16.3</v>
      </c>
      <c r="E57" s="137">
        <v>16.100000000000001</v>
      </c>
    </row>
    <row r="58" spans="1:5" x14ac:dyDescent="0.2">
      <c r="A58" s="347" t="s">
        <v>200</v>
      </c>
      <c r="B58" s="318" t="s">
        <v>188</v>
      </c>
      <c r="C58" s="348"/>
      <c r="D58" s="136">
        <v>1.5</v>
      </c>
      <c r="E58" s="137">
        <v>1.5</v>
      </c>
    </row>
    <row r="59" spans="1:5" x14ac:dyDescent="0.2">
      <c r="A59" s="347" t="s">
        <v>201</v>
      </c>
      <c r="B59" s="318" t="s">
        <v>178</v>
      </c>
      <c r="C59" s="348"/>
      <c r="D59" s="136">
        <v>47.2</v>
      </c>
      <c r="E59" s="137">
        <v>6.5</v>
      </c>
    </row>
    <row r="60" spans="1:5" ht="35.25" customHeight="1" x14ac:dyDescent="0.2">
      <c r="A60" s="365" t="s">
        <v>918</v>
      </c>
      <c r="B60" s="334" t="s">
        <v>915</v>
      </c>
      <c r="C60" s="348"/>
      <c r="D60" s="207">
        <f>2.816+3.344+6.336</f>
        <v>12.496</v>
      </c>
      <c r="E60" s="188">
        <f>2.816+3.344+6.336</f>
        <v>12.496</v>
      </c>
    </row>
    <row r="61" spans="1:5" ht="24" x14ac:dyDescent="0.2">
      <c r="A61" s="359" t="s">
        <v>202</v>
      </c>
      <c r="B61" s="366" t="s">
        <v>179</v>
      </c>
      <c r="C61" s="352" t="s">
        <v>332</v>
      </c>
      <c r="D61" s="173">
        <f>SUM(D62)</f>
        <v>19.399999999999999</v>
      </c>
      <c r="E61" s="174">
        <f>SUM(E62)</f>
        <v>6.8</v>
      </c>
    </row>
    <row r="62" spans="1:5" x14ac:dyDescent="0.2">
      <c r="A62" s="367" t="s">
        <v>203</v>
      </c>
      <c r="B62" s="368" t="s">
        <v>172</v>
      </c>
      <c r="C62" s="369"/>
      <c r="D62" s="184">
        <v>19.399999999999999</v>
      </c>
      <c r="E62" s="177">
        <v>6.8</v>
      </c>
    </row>
    <row r="63" spans="1:5" s="92" customFormat="1" x14ac:dyDescent="0.2">
      <c r="A63" s="370" t="s">
        <v>84</v>
      </c>
      <c r="B63" s="343" t="s">
        <v>99</v>
      </c>
      <c r="C63" s="343"/>
      <c r="D63" s="312">
        <f>SUM(D65+D71+D73)</f>
        <v>3001.9520000000002</v>
      </c>
      <c r="E63" s="204">
        <f>SUM(E65+E71)</f>
        <v>2434.9519999999998</v>
      </c>
    </row>
    <row r="64" spans="1:5" x14ac:dyDescent="0.2">
      <c r="A64" s="356"/>
      <c r="B64" s="344" t="s">
        <v>168</v>
      </c>
      <c r="C64" s="344"/>
      <c r="D64" s="209"/>
      <c r="E64" s="188"/>
    </row>
    <row r="65" spans="1:5" ht="12" customHeight="1" x14ac:dyDescent="0.2">
      <c r="A65" s="356" t="s">
        <v>204</v>
      </c>
      <c r="B65" s="357" t="s">
        <v>169</v>
      </c>
      <c r="C65" s="364" t="s">
        <v>170</v>
      </c>
      <c r="D65" s="205">
        <f>SUM(D66:D70)</f>
        <v>2872.152</v>
      </c>
      <c r="E65" s="206">
        <f>SUM(E66:E70)</f>
        <v>2418.752</v>
      </c>
    </row>
    <row r="66" spans="1:5" x14ac:dyDescent="0.2">
      <c r="A66" s="356" t="s">
        <v>205</v>
      </c>
      <c r="B66" s="358" t="s">
        <v>172</v>
      </c>
      <c r="C66" s="364"/>
      <c r="D66" s="138">
        <f>785.2+16+13.9</f>
        <v>815.1</v>
      </c>
      <c r="E66" s="137">
        <v>589.79999999999995</v>
      </c>
    </row>
    <row r="67" spans="1:5" ht="12.75" customHeight="1" x14ac:dyDescent="0.2">
      <c r="A67" s="359" t="s">
        <v>206</v>
      </c>
      <c r="B67" s="239" t="s">
        <v>174</v>
      </c>
      <c r="C67" s="344"/>
      <c r="D67" s="138">
        <v>1913.4</v>
      </c>
      <c r="E67" s="137">
        <v>1804.7</v>
      </c>
    </row>
    <row r="68" spans="1:5" x14ac:dyDescent="0.2">
      <c r="A68" s="359" t="s">
        <v>207</v>
      </c>
      <c r="B68" s="239" t="s">
        <v>188</v>
      </c>
      <c r="C68" s="344"/>
      <c r="D68" s="138">
        <v>1.5</v>
      </c>
      <c r="E68" s="137">
        <v>1.5</v>
      </c>
    </row>
    <row r="69" spans="1:5" x14ac:dyDescent="0.2">
      <c r="A69" s="359" t="s">
        <v>208</v>
      </c>
      <c r="B69" s="239" t="s">
        <v>178</v>
      </c>
      <c r="C69" s="344"/>
      <c r="D69" s="138">
        <v>135.9</v>
      </c>
      <c r="E69" s="137">
        <v>16.5</v>
      </c>
    </row>
    <row r="70" spans="1:5" ht="36.75" customHeight="1" x14ac:dyDescent="0.2">
      <c r="A70" s="229" t="s">
        <v>919</v>
      </c>
      <c r="B70" s="334" t="s">
        <v>915</v>
      </c>
      <c r="C70" s="344"/>
      <c r="D70" s="479">
        <f>1.232+1.356+3.664</f>
        <v>6.2520000000000007</v>
      </c>
      <c r="E70" s="188">
        <f>1.232+1.356+3.664</f>
        <v>6.2520000000000007</v>
      </c>
    </row>
    <row r="71" spans="1:5" ht="24" x14ac:dyDescent="0.2">
      <c r="A71" s="359" t="s">
        <v>209</v>
      </c>
      <c r="B71" s="360" t="s">
        <v>179</v>
      </c>
      <c r="C71" s="364"/>
      <c r="D71" s="175">
        <f>SUM(D72)</f>
        <v>29.8</v>
      </c>
      <c r="E71" s="174">
        <f>SUM(E72)</f>
        <v>16.2</v>
      </c>
    </row>
    <row r="72" spans="1:5" x14ac:dyDescent="0.2">
      <c r="A72" s="356" t="s">
        <v>210</v>
      </c>
      <c r="B72" s="371" t="s">
        <v>172</v>
      </c>
      <c r="C72" s="364" t="s">
        <v>332</v>
      </c>
      <c r="D72" s="138">
        <v>29.8</v>
      </c>
      <c r="E72" s="137">
        <v>16.2</v>
      </c>
    </row>
    <row r="73" spans="1:5" x14ac:dyDescent="0.2">
      <c r="A73" s="224" t="s">
        <v>846</v>
      </c>
      <c r="B73" s="372" t="s">
        <v>396</v>
      </c>
      <c r="C73" s="373" t="s">
        <v>399</v>
      </c>
      <c r="D73" s="138">
        <v>100</v>
      </c>
      <c r="E73" s="137"/>
    </row>
    <row r="74" spans="1:5" s="92" customFormat="1" x14ac:dyDescent="0.2">
      <c r="A74" s="353" t="s">
        <v>86</v>
      </c>
      <c r="B74" s="354" t="s">
        <v>100</v>
      </c>
      <c r="C74" s="374"/>
      <c r="D74" s="203">
        <f>SUM(D76+D81)</f>
        <v>828.02800000000013</v>
      </c>
      <c r="E74" s="310">
        <f>SUM(E76+E81)</f>
        <v>671.42800000000011</v>
      </c>
    </row>
    <row r="75" spans="1:5" x14ac:dyDescent="0.2">
      <c r="A75" s="356"/>
      <c r="B75" s="344" t="s">
        <v>168</v>
      </c>
      <c r="C75" s="375"/>
      <c r="D75" s="209"/>
      <c r="E75" s="188"/>
    </row>
    <row r="76" spans="1:5" x14ac:dyDescent="0.2">
      <c r="A76" s="356" t="s">
        <v>88</v>
      </c>
      <c r="B76" s="357" t="s">
        <v>169</v>
      </c>
      <c r="C76" s="155" t="s">
        <v>170</v>
      </c>
      <c r="D76" s="205">
        <f>SUM(D77:D80)</f>
        <v>812.42800000000011</v>
      </c>
      <c r="E76" s="206">
        <f>SUM(E77:E80)</f>
        <v>663.92800000000011</v>
      </c>
    </row>
    <row r="77" spans="1:5" x14ac:dyDescent="0.2">
      <c r="A77" s="356" t="s">
        <v>211</v>
      </c>
      <c r="B77" s="358" t="s">
        <v>172</v>
      </c>
      <c r="C77" s="155"/>
      <c r="D77" s="136">
        <f>396.3+8.5</f>
        <v>404.8</v>
      </c>
      <c r="E77" s="137">
        <v>298.5</v>
      </c>
    </row>
    <row r="78" spans="1:5" ht="12.75" customHeight="1" x14ac:dyDescent="0.2">
      <c r="A78" s="359" t="s">
        <v>212</v>
      </c>
      <c r="B78" s="239" t="s">
        <v>174</v>
      </c>
      <c r="C78" s="375"/>
      <c r="D78" s="136">
        <v>372.1</v>
      </c>
      <c r="E78" s="137">
        <v>360.2</v>
      </c>
    </row>
    <row r="79" spans="1:5" x14ac:dyDescent="0.2">
      <c r="A79" s="359" t="s">
        <v>213</v>
      </c>
      <c r="B79" s="239" t="s">
        <v>178</v>
      </c>
      <c r="C79" s="375"/>
      <c r="D79" s="136">
        <f>31.5+3.5</f>
        <v>35</v>
      </c>
      <c r="E79" s="137">
        <v>4.7</v>
      </c>
    </row>
    <row r="80" spans="1:5" ht="35.25" customHeight="1" x14ac:dyDescent="0.2">
      <c r="A80" s="382" t="s">
        <v>944</v>
      </c>
      <c r="B80" s="334" t="s">
        <v>915</v>
      </c>
      <c r="C80" s="375"/>
      <c r="D80" s="207">
        <f>0.176+0.352</f>
        <v>0.52800000000000002</v>
      </c>
      <c r="E80" s="188">
        <f>0.176+0.352</f>
        <v>0.52800000000000002</v>
      </c>
    </row>
    <row r="81" spans="1:5" ht="24" x14ac:dyDescent="0.2">
      <c r="A81" s="359" t="s">
        <v>214</v>
      </c>
      <c r="B81" s="360" t="s">
        <v>179</v>
      </c>
      <c r="C81" s="352" t="s">
        <v>332</v>
      </c>
      <c r="D81" s="173">
        <f>SUM(D82)</f>
        <v>15.6</v>
      </c>
      <c r="E81" s="174">
        <f>SUM(E82)</f>
        <v>7.5</v>
      </c>
    </row>
    <row r="82" spans="1:5" x14ac:dyDescent="0.2">
      <c r="A82" s="356" t="s">
        <v>215</v>
      </c>
      <c r="B82" s="358" t="s">
        <v>172</v>
      </c>
      <c r="C82" s="375"/>
      <c r="D82" s="184">
        <v>15.6</v>
      </c>
      <c r="E82" s="177">
        <v>7.5</v>
      </c>
    </row>
    <row r="83" spans="1:5" s="92" customFormat="1" x14ac:dyDescent="0.2">
      <c r="A83" s="353" t="s">
        <v>101</v>
      </c>
      <c r="B83" s="354" t="s">
        <v>102</v>
      </c>
      <c r="C83" s="354"/>
      <c r="D83" s="315">
        <f>SUM(D85+D91)</f>
        <v>812.09199999999998</v>
      </c>
      <c r="E83" s="311">
        <f>SUM(E85+E91)</f>
        <v>683.29199999999992</v>
      </c>
    </row>
    <row r="84" spans="1:5" s="92" customFormat="1" x14ac:dyDescent="0.2">
      <c r="A84" s="370"/>
      <c r="B84" s="344" t="s">
        <v>168</v>
      </c>
      <c r="C84" s="344"/>
      <c r="D84" s="315"/>
      <c r="E84" s="311"/>
    </row>
    <row r="85" spans="1:5" x14ac:dyDescent="0.2">
      <c r="A85" s="356" t="s">
        <v>216</v>
      </c>
      <c r="B85" s="357" t="s">
        <v>169</v>
      </c>
      <c r="C85" s="364" t="s">
        <v>170</v>
      </c>
      <c r="D85" s="316">
        <f>SUM(D86:D90)</f>
        <v>803.89199999999994</v>
      </c>
      <c r="E85" s="206">
        <f>SUM(E86:E90)</f>
        <v>679.19199999999989</v>
      </c>
    </row>
    <row r="86" spans="1:5" x14ac:dyDescent="0.2">
      <c r="A86" s="356" t="s">
        <v>217</v>
      </c>
      <c r="B86" s="358" t="s">
        <v>172</v>
      </c>
      <c r="C86" s="364"/>
      <c r="D86" s="138">
        <f>308.6+4.7+13</f>
        <v>326.3</v>
      </c>
      <c r="E86" s="137">
        <v>223.7</v>
      </c>
    </row>
    <row r="87" spans="1:5" ht="12.75" customHeight="1" x14ac:dyDescent="0.2">
      <c r="A87" s="359" t="s">
        <v>218</v>
      </c>
      <c r="B87" s="239" t="s">
        <v>174</v>
      </c>
      <c r="C87" s="344"/>
      <c r="D87" s="138">
        <v>467.2</v>
      </c>
      <c r="E87" s="137">
        <v>450.7</v>
      </c>
    </row>
    <row r="88" spans="1:5" x14ac:dyDescent="0.2">
      <c r="A88" s="359" t="s">
        <v>219</v>
      </c>
      <c r="B88" s="239" t="s">
        <v>188</v>
      </c>
      <c r="C88" s="344"/>
      <c r="D88" s="138">
        <v>1.5</v>
      </c>
      <c r="E88" s="137">
        <v>1.5</v>
      </c>
    </row>
    <row r="89" spans="1:5" x14ac:dyDescent="0.2">
      <c r="A89" s="359" t="s">
        <v>220</v>
      </c>
      <c r="B89" s="239" t="s">
        <v>178</v>
      </c>
      <c r="C89" s="344"/>
      <c r="D89" s="138">
        <v>5.9</v>
      </c>
      <c r="E89" s="137">
        <v>0.3</v>
      </c>
    </row>
    <row r="90" spans="1:5" ht="36" customHeight="1" x14ac:dyDescent="0.2">
      <c r="A90" s="382" t="s">
        <v>945</v>
      </c>
      <c r="B90" s="334" t="s">
        <v>915</v>
      </c>
      <c r="C90" s="344"/>
      <c r="D90" s="479">
        <f>0.88+2.112</f>
        <v>2.992</v>
      </c>
      <c r="E90" s="188">
        <f>0.88+2.112</f>
        <v>2.992</v>
      </c>
    </row>
    <row r="91" spans="1:5" ht="24" x14ac:dyDescent="0.2">
      <c r="A91" s="359" t="s">
        <v>221</v>
      </c>
      <c r="B91" s="360" t="s">
        <v>179</v>
      </c>
      <c r="C91" s="364" t="s">
        <v>332</v>
      </c>
      <c r="D91" s="175">
        <f>SUM(D92)</f>
        <v>8.1999999999999993</v>
      </c>
      <c r="E91" s="174">
        <f>SUM(E92)</f>
        <v>4.0999999999999996</v>
      </c>
    </row>
    <row r="92" spans="1:5" x14ac:dyDescent="0.2">
      <c r="A92" s="356" t="s">
        <v>222</v>
      </c>
      <c r="B92" s="358" t="s">
        <v>172</v>
      </c>
      <c r="C92" s="344"/>
      <c r="D92" s="138">
        <v>8.1999999999999993</v>
      </c>
      <c r="E92" s="137">
        <v>4.0999999999999996</v>
      </c>
    </row>
    <row r="93" spans="1:5" s="92" customFormat="1" x14ac:dyDescent="0.2">
      <c r="A93" s="353" t="s">
        <v>90</v>
      </c>
      <c r="B93" s="354" t="s">
        <v>103</v>
      </c>
      <c r="C93" s="354"/>
      <c r="D93" s="313">
        <f>SUM(D95+D101)</f>
        <v>2298.1320000000001</v>
      </c>
      <c r="E93" s="310">
        <f>SUM(E95+E101)</f>
        <v>1910.232</v>
      </c>
    </row>
    <row r="94" spans="1:5" x14ac:dyDescent="0.2">
      <c r="A94" s="356"/>
      <c r="B94" s="344" t="s">
        <v>168</v>
      </c>
      <c r="C94" s="344"/>
      <c r="D94" s="187"/>
      <c r="E94" s="188"/>
    </row>
    <row r="95" spans="1:5" x14ac:dyDescent="0.2">
      <c r="A95" s="356" t="s">
        <v>223</v>
      </c>
      <c r="B95" s="357" t="s">
        <v>169</v>
      </c>
      <c r="C95" s="364" t="s">
        <v>170</v>
      </c>
      <c r="D95" s="314">
        <f>SUM(D96:D100)</f>
        <v>2269.0320000000002</v>
      </c>
      <c r="E95" s="206">
        <f>SUM(E96:E100)</f>
        <v>1899.932</v>
      </c>
    </row>
    <row r="96" spans="1:5" x14ac:dyDescent="0.2">
      <c r="A96" s="356" t="s">
        <v>224</v>
      </c>
      <c r="B96" s="358" t="s">
        <v>172</v>
      </c>
      <c r="C96" s="364"/>
      <c r="D96" s="189">
        <f>1130.5+8+3.3</f>
        <v>1141.8</v>
      </c>
      <c r="E96" s="137">
        <v>885</v>
      </c>
    </row>
    <row r="97" spans="1:5" ht="12.75" customHeight="1" x14ac:dyDescent="0.2">
      <c r="A97" s="359" t="s">
        <v>225</v>
      </c>
      <c r="B97" s="239" t="s">
        <v>174</v>
      </c>
      <c r="C97" s="344"/>
      <c r="D97" s="189">
        <v>1039</v>
      </c>
      <c r="E97" s="137">
        <v>996</v>
      </c>
    </row>
    <row r="98" spans="1:5" x14ac:dyDescent="0.2">
      <c r="A98" s="359" t="s">
        <v>226</v>
      </c>
      <c r="B98" s="239" t="s">
        <v>188</v>
      </c>
      <c r="C98" s="344"/>
      <c r="D98" s="189">
        <v>1.5</v>
      </c>
      <c r="E98" s="137">
        <v>1.5</v>
      </c>
    </row>
    <row r="99" spans="1:5" x14ac:dyDescent="0.2">
      <c r="A99" s="359" t="s">
        <v>227</v>
      </c>
      <c r="B99" s="239" t="s">
        <v>178</v>
      </c>
      <c r="C99" s="344"/>
      <c r="D99" s="189">
        <v>80.5</v>
      </c>
      <c r="E99" s="137">
        <v>11.2</v>
      </c>
    </row>
    <row r="100" spans="1:5" ht="36" customHeight="1" x14ac:dyDescent="0.2">
      <c r="A100" s="229" t="s">
        <v>920</v>
      </c>
      <c r="B100" s="334" t="s">
        <v>915</v>
      </c>
      <c r="C100" s="344"/>
      <c r="D100" s="188">
        <f>1.056+1.532+3.644</f>
        <v>6.2320000000000002</v>
      </c>
      <c r="E100" s="223">
        <f>1.056+1.532+3.644</f>
        <v>6.2320000000000002</v>
      </c>
    </row>
    <row r="101" spans="1:5" ht="24" x14ac:dyDescent="0.2">
      <c r="A101" s="359" t="s">
        <v>228</v>
      </c>
      <c r="B101" s="360" t="s">
        <v>179</v>
      </c>
      <c r="C101" s="364" t="s">
        <v>332</v>
      </c>
      <c r="D101" s="183">
        <f>SUM(D102)</f>
        <v>29.1</v>
      </c>
      <c r="E101" s="174">
        <f>SUM(E102)</f>
        <v>10.3</v>
      </c>
    </row>
    <row r="102" spans="1:5" x14ac:dyDescent="0.2">
      <c r="A102" s="356" t="s">
        <v>229</v>
      </c>
      <c r="B102" s="358" t="s">
        <v>172</v>
      </c>
      <c r="C102" s="344"/>
      <c r="D102" s="136">
        <v>29.1</v>
      </c>
      <c r="E102" s="137">
        <v>10.3</v>
      </c>
    </row>
    <row r="103" spans="1:5" s="92" customFormat="1" x14ac:dyDescent="0.2">
      <c r="A103" s="353" t="s">
        <v>104</v>
      </c>
      <c r="B103" s="354" t="s">
        <v>105</v>
      </c>
      <c r="C103" s="354"/>
      <c r="D103" s="313">
        <f>SUM(D105+D111)</f>
        <v>1187.0439999999999</v>
      </c>
      <c r="E103" s="310">
        <f>SUM(E105+E111)</f>
        <v>973.84400000000005</v>
      </c>
    </row>
    <row r="104" spans="1:5" x14ac:dyDescent="0.2">
      <c r="A104" s="356"/>
      <c r="B104" s="344" t="s">
        <v>168</v>
      </c>
      <c r="C104" s="344"/>
      <c r="D104" s="315"/>
      <c r="E104" s="188"/>
    </row>
    <row r="105" spans="1:5" x14ac:dyDescent="0.2">
      <c r="A105" s="356" t="s">
        <v>230</v>
      </c>
      <c r="B105" s="357" t="s">
        <v>169</v>
      </c>
      <c r="C105" s="364" t="s">
        <v>170</v>
      </c>
      <c r="D105" s="316">
        <f>SUM(D106:D110)</f>
        <v>1170.0439999999999</v>
      </c>
      <c r="E105" s="206">
        <f>SUM(E106:E110)</f>
        <v>966.34400000000005</v>
      </c>
    </row>
    <row r="106" spans="1:5" x14ac:dyDescent="0.2">
      <c r="A106" s="356" t="s">
        <v>231</v>
      </c>
      <c r="B106" s="358" t="s">
        <v>172</v>
      </c>
      <c r="C106" s="364"/>
      <c r="D106" s="138">
        <f>390+3.4+0.5</f>
        <v>393.9</v>
      </c>
      <c r="E106" s="137">
        <v>282.39999999999998</v>
      </c>
    </row>
    <row r="107" spans="1:5" ht="12.75" customHeight="1" x14ac:dyDescent="0.2">
      <c r="A107" s="359" t="s">
        <v>232</v>
      </c>
      <c r="B107" s="239" t="s">
        <v>174</v>
      </c>
      <c r="C107" s="344"/>
      <c r="D107" s="138">
        <v>711.7</v>
      </c>
      <c r="E107" s="137">
        <v>678.2</v>
      </c>
    </row>
    <row r="108" spans="1:5" x14ac:dyDescent="0.2">
      <c r="A108" s="359" t="s">
        <v>233</v>
      </c>
      <c r="B108" s="239" t="s">
        <v>188</v>
      </c>
      <c r="C108" s="344"/>
      <c r="D108" s="138">
        <v>1.5</v>
      </c>
      <c r="E108" s="137">
        <v>1.5</v>
      </c>
    </row>
    <row r="109" spans="1:5" x14ac:dyDescent="0.2">
      <c r="A109" s="359" t="s">
        <v>234</v>
      </c>
      <c r="B109" s="239" t="s">
        <v>178</v>
      </c>
      <c r="C109" s="344"/>
      <c r="D109" s="138">
        <f>30.7+28</f>
        <v>58.7</v>
      </c>
      <c r="E109" s="137"/>
    </row>
    <row r="110" spans="1:5" ht="36.75" customHeight="1" x14ac:dyDescent="0.2">
      <c r="A110" s="229" t="s">
        <v>921</v>
      </c>
      <c r="B110" s="334" t="s">
        <v>915</v>
      </c>
      <c r="C110" s="344"/>
      <c r="D110" s="479">
        <f>0.828+1.18+2.236</f>
        <v>4.2439999999999998</v>
      </c>
      <c r="E110" s="188">
        <f>0.828+1.18+2.236</f>
        <v>4.2439999999999998</v>
      </c>
    </row>
    <row r="111" spans="1:5" ht="24" x14ac:dyDescent="0.2">
      <c r="A111" s="359" t="s">
        <v>235</v>
      </c>
      <c r="B111" s="360" t="s">
        <v>179</v>
      </c>
      <c r="C111" s="364" t="s">
        <v>332</v>
      </c>
      <c r="D111" s="175">
        <f>SUM(D112)</f>
        <v>17</v>
      </c>
      <c r="E111" s="174">
        <f>SUM(E112)</f>
        <v>7.5</v>
      </c>
    </row>
    <row r="112" spans="1:5" ht="14.45" customHeight="1" x14ac:dyDescent="0.2">
      <c r="A112" s="356" t="s">
        <v>236</v>
      </c>
      <c r="B112" s="358" t="s">
        <v>172</v>
      </c>
      <c r="C112" s="344"/>
      <c r="D112" s="176">
        <v>17</v>
      </c>
      <c r="E112" s="177">
        <v>7.5</v>
      </c>
    </row>
    <row r="113" spans="1:5" s="92" customFormat="1" x14ac:dyDescent="0.2">
      <c r="A113" s="353" t="s">
        <v>106</v>
      </c>
      <c r="B113" s="354" t="s">
        <v>107</v>
      </c>
      <c r="C113" s="354"/>
      <c r="D113" s="315">
        <f>SUM(D115+D121)</f>
        <v>1680.64</v>
      </c>
      <c r="E113" s="311">
        <f>SUM(E115+E121)</f>
        <v>1324.44</v>
      </c>
    </row>
    <row r="114" spans="1:5" x14ac:dyDescent="0.2">
      <c r="A114" s="356"/>
      <c r="B114" s="344" t="s">
        <v>168</v>
      </c>
      <c r="C114" s="344"/>
      <c r="D114" s="315"/>
      <c r="E114" s="188"/>
    </row>
    <row r="115" spans="1:5" x14ac:dyDescent="0.2">
      <c r="A115" s="356" t="s">
        <v>237</v>
      </c>
      <c r="B115" s="357" t="s">
        <v>169</v>
      </c>
      <c r="C115" s="364" t="s">
        <v>170</v>
      </c>
      <c r="D115" s="316">
        <f>SUM(D116:D120)</f>
        <v>1667.8400000000001</v>
      </c>
      <c r="E115" s="206">
        <f>SUM(E116:E120)</f>
        <v>1320.04</v>
      </c>
    </row>
    <row r="116" spans="1:5" x14ac:dyDescent="0.2">
      <c r="A116" s="356" t="s">
        <v>238</v>
      </c>
      <c r="B116" s="358" t="s">
        <v>172</v>
      </c>
      <c r="C116" s="364"/>
      <c r="D116" s="138">
        <f>790.6+58.6+7.5</f>
        <v>856.7</v>
      </c>
      <c r="E116" s="137">
        <v>596.5</v>
      </c>
    </row>
    <row r="117" spans="1:5" ht="12.75" customHeight="1" x14ac:dyDescent="0.2">
      <c r="A117" s="359" t="s">
        <v>239</v>
      </c>
      <c r="B117" s="239" t="s">
        <v>174</v>
      </c>
      <c r="C117" s="344"/>
      <c r="D117" s="138">
        <v>739.1</v>
      </c>
      <c r="E117" s="137">
        <v>707.9</v>
      </c>
    </row>
    <row r="118" spans="1:5" x14ac:dyDescent="0.2">
      <c r="A118" s="359" t="s">
        <v>240</v>
      </c>
      <c r="B118" s="239" t="s">
        <v>188</v>
      </c>
      <c r="C118" s="344"/>
      <c r="D118" s="138">
        <v>1.5</v>
      </c>
      <c r="E118" s="137">
        <v>1.5</v>
      </c>
    </row>
    <row r="119" spans="1:5" x14ac:dyDescent="0.2">
      <c r="A119" s="359" t="s">
        <v>241</v>
      </c>
      <c r="B119" s="239" t="s">
        <v>178</v>
      </c>
      <c r="C119" s="344"/>
      <c r="D119" s="138">
        <v>65.5</v>
      </c>
      <c r="E119" s="137">
        <v>9.1</v>
      </c>
    </row>
    <row r="120" spans="1:5" ht="35.25" customHeight="1" x14ac:dyDescent="0.2">
      <c r="A120" s="229" t="s">
        <v>922</v>
      </c>
      <c r="B120" s="334" t="s">
        <v>915</v>
      </c>
      <c r="C120" s="344"/>
      <c r="D120" s="479">
        <f>0.952+1.604+2.484</f>
        <v>5.04</v>
      </c>
      <c r="E120" s="188">
        <f>0.952+1.604+2.484</f>
        <v>5.04</v>
      </c>
    </row>
    <row r="121" spans="1:5" ht="24" x14ac:dyDescent="0.2">
      <c r="A121" s="359" t="s">
        <v>242</v>
      </c>
      <c r="B121" s="360" t="s">
        <v>179</v>
      </c>
      <c r="C121" s="364" t="s">
        <v>332</v>
      </c>
      <c r="D121" s="175">
        <f>SUM(D122)</f>
        <v>12.8</v>
      </c>
      <c r="E121" s="174">
        <f>SUM(E122)</f>
        <v>4.4000000000000004</v>
      </c>
    </row>
    <row r="122" spans="1:5" x14ac:dyDescent="0.2">
      <c r="A122" s="356" t="s">
        <v>243</v>
      </c>
      <c r="B122" s="358" t="s">
        <v>172</v>
      </c>
      <c r="C122" s="344"/>
      <c r="D122" s="138">
        <v>12.8</v>
      </c>
      <c r="E122" s="137">
        <v>4.4000000000000004</v>
      </c>
    </row>
    <row r="123" spans="1:5" s="92" customFormat="1" x14ac:dyDescent="0.2">
      <c r="A123" s="376" t="s">
        <v>108</v>
      </c>
      <c r="B123" s="377" t="s">
        <v>109</v>
      </c>
      <c r="C123" s="378"/>
      <c r="D123" s="203">
        <f>SUM(D125+D131+D135)</f>
        <v>1214.0820000000001</v>
      </c>
      <c r="E123" s="310">
        <f>SUM(E125+E131+E135)</f>
        <v>1091.682</v>
      </c>
    </row>
    <row r="124" spans="1:5" x14ac:dyDescent="0.2">
      <c r="A124" s="362"/>
      <c r="B124" s="344" t="s">
        <v>168</v>
      </c>
      <c r="C124" s="327"/>
      <c r="D124" s="209"/>
      <c r="E124" s="188"/>
    </row>
    <row r="125" spans="1:5" x14ac:dyDescent="0.2">
      <c r="A125" s="379" t="s">
        <v>244</v>
      </c>
      <c r="B125" s="357" t="s">
        <v>169</v>
      </c>
      <c r="C125" s="155" t="s">
        <v>170</v>
      </c>
      <c r="D125" s="205">
        <f>SUM(D126:D130)</f>
        <v>678.25199999999995</v>
      </c>
      <c r="E125" s="206">
        <f>SUM(E126:E130)</f>
        <v>589.05200000000002</v>
      </c>
    </row>
    <row r="126" spans="1:5" x14ac:dyDescent="0.2">
      <c r="A126" s="379" t="s">
        <v>245</v>
      </c>
      <c r="B126" s="358" t="s">
        <v>172</v>
      </c>
      <c r="C126" s="155"/>
      <c r="D126" s="136">
        <v>281.39999999999998</v>
      </c>
      <c r="E126" s="137">
        <v>217.5</v>
      </c>
    </row>
    <row r="127" spans="1:5" ht="12.75" customHeight="1" x14ac:dyDescent="0.2">
      <c r="A127" s="380" t="s">
        <v>246</v>
      </c>
      <c r="B127" s="239" t="s">
        <v>174</v>
      </c>
      <c r="C127" s="327"/>
      <c r="D127" s="136">
        <v>378.5</v>
      </c>
      <c r="E127" s="137">
        <v>366.3</v>
      </c>
    </row>
    <row r="128" spans="1:5" x14ac:dyDescent="0.2">
      <c r="A128" s="380" t="s">
        <v>247</v>
      </c>
      <c r="B128" s="239" t="s">
        <v>188</v>
      </c>
      <c r="C128" s="327"/>
      <c r="D128" s="136">
        <v>1.5</v>
      </c>
      <c r="E128" s="137">
        <v>1.5</v>
      </c>
    </row>
    <row r="129" spans="1:5" x14ac:dyDescent="0.2">
      <c r="A129" s="379" t="s">
        <v>248</v>
      </c>
      <c r="B129" s="358" t="s">
        <v>178</v>
      </c>
      <c r="C129" s="327"/>
      <c r="D129" s="136">
        <v>15.3</v>
      </c>
      <c r="E129" s="137">
        <v>2.2000000000000002</v>
      </c>
    </row>
    <row r="130" spans="1:5" ht="36" customHeight="1" x14ac:dyDescent="0.2">
      <c r="A130" s="382" t="s">
        <v>946</v>
      </c>
      <c r="B130" s="334" t="s">
        <v>915</v>
      </c>
      <c r="C130" s="327"/>
      <c r="D130" s="207">
        <f>0.6+0.952</f>
        <v>1.552</v>
      </c>
      <c r="E130" s="188">
        <f>0.6+0.952</f>
        <v>1.552</v>
      </c>
    </row>
    <row r="131" spans="1:5" x14ac:dyDescent="0.2">
      <c r="A131" s="379" t="s">
        <v>249</v>
      </c>
      <c r="B131" s="381" t="s">
        <v>250</v>
      </c>
      <c r="C131" s="364" t="s">
        <v>104</v>
      </c>
      <c r="D131" s="174">
        <f>SUM(D132+D133+D134)</f>
        <v>524.63000000000011</v>
      </c>
      <c r="E131" s="174">
        <f>SUM(E132+E133+E134)</f>
        <v>498.63000000000005</v>
      </c>
    </row>
    <row r="132" spans="1:5" x14ac:dyDescent="0.2">
      <c r="A132" s="379" t="s">
        <v>251</v>
      </c>
      <c r="B132" s="358" t="s">
        <v>172</v>
      </c>
      <c r="C132" s="344"/>
      <c r="D132" s="136">
        <f>544.7-44.7</f>
        <v>500.00000000000006</v>
      </c>
      <c r="E132" s="137">
        <f>519.1-44.7</f>
        <v>474.40000000000003</v>
      </c>
    </row>
    <row r="133" spans="1:5" x14ac:dyDescent="0.2">
      <c r="A133" s="379" t="s">
        <v>252</v>
      </c>
      <c r="B133" s="358" t="s">
        <v>188</v>
      </c>
      <c r="C133" s="327"/>
      <c r="D133" s="136">
        <v>1.5</v>
      </c>
      <c r="E133" s="137">
        <v>1.5</v>
      </c>
    </row>
    <row r="134" spans="1:5" ht="36" x14ac:dyDescent="0.2">
      <c r="A134" s="382" t="s">
        <v>809</v>
      </c>
      <c r="B134" s="151" t="s">
        <v>810</v>
      </c>
      <c r="C134" s="327"/>
      <c r="D134" s="191">
        <v>23.13</v>
      </c>
      <c r="E134" s="156">
        <v>22.73</v>
      </c>
    </row>
    <row r="135" spans="1:5" ht="24" x14ac:dyDescent="0.2">
      <c r="A135" s="380" t="s">
        <v>253</v>
      </c>
      <c r="B135" s="360" t="s">
        <v>179</v>
      </c>
      <c r="C135" s="155" t="s">
        <v>332</v>
      </c>
      <c r="D135" s="173">
        <f>SUM(D136)</f>
        <v>11.2</v>
      </c>
      <c r="E135" s="174">
        <f>SUM(E136)</f>
        <v>4</v>
      </c>
    </row>
    <row r="136" spans="1:5" x14ac:dyDescent="0.2">
      <c r="A136" s="383" t="s">
        <v>254</v>
      </c>
      <c r="B136" s="368" t="s">
        <v>172</v>
      </c>
      <c r="C136" s="369"/>
      <c r="D136" s="184">
        <v>11.2</v>
      </c>
      <c r="E136" s="177">
        <v>4</v>
      </c>
    </row>
    <row r="137" spans="1:5" s="92" customFormat="1" x14ac:dyDescent="0.2">
      <c r="A137" s="370" t="s">
        <v>110</v>
      </c>
      <c r="B137" s="343" t="s">
        <v>111</v>
      </c>
      <c r="C137" s="343"/>
      <c r="D137" s="315">
        <f>SUM(D139+D145)</f>
        <v>1218.7080000000003</v>
      </c>
      <c r="E137" s="311">
        <f>SUM(E139+E145)</f>
        <v>972.00800000000004</v>
      </c>
    </row>
    <row r="138" spans="1:5" x14ac:dyDescent="0.2">
      <c r="A138" s="356"/>
      <c r="B138" s="344" t="s">
        <v>168</v>
      </c>
      <c r="C138" s="344"/>
      <c r="D138" s="315"/>
      <c r="E138" s="188"/>
    </row>
    <row r="139" spans="1:5" x14ac:dyDescent="0.2">
      <c r="A139" s="356" t="s">
        <v>255</v>
      </c>
      <c r="B139" s="357" t="s">
        <v>169</v>
      </c>
      <c r="C139" s="364" t="s">
        <v>170</v>
      </c>
      <c r="D139" s="316">
        <f>SUM(D140:D144)</f>
        <v>1206.5080000000003</v>
      </c>
      <c r="E139" s="206">
        <f>SUM(E140:E144)</f>
        <v>969.30799999999999</v>
      </c>
    </row>
    <row r="140" spans="1:5" x14ac:dyDescent="0.2">
      <c r="A140" s="356" t="s">
        <v>256</v>
      </c>
      <c r="B140" s="358" t="s">
        <v>172</v>
      </c>
      <c r="C140" s="364"/>
      <c r="D140" s="138">
        <f>499.3+10.5+7.3</f>
        <v>517.1</v>
      </c>
      <c r="E140" s="137">
        <v>337.6</v>
      </c>
    </row>
    <row r="141" spans="1:5" ht="12.75" customHeight="1" x14ac:dyDescent="0.2">
      <c r="A141" s="359" t="s">
        <v>257</v>
      </c>
      <c r="B141" s="239" t="s">
        <v>174</v>
      </c>
      <c r="C141" s="344"/>
      <c r="D141" s="138">
        <v>649.70000000000005</v>
      </c>
      <c r="E141" s="137">
        <v>624.4</v>
      </c>
    </row>
    <row r="142" spans="1:5" ht="12.75" customHeight="1" x14ac:dyDescent="0.2">
      <c r="A142" s="359" t="s">
        <v>258</v>
      </c>
      <c r="B142" s="239" t="s">
        <v>188</v>
      </c>
      <c r="C142" s="344"/>
      <c r="D142" s="138">
        <v>1.5</v>
      </c>
      <c r="E142" s="137">
        <v>1.5</v>
      </c>
    </row>
    <row r="143" spans="1:5" ht="14.45" customHeight="1" x14ac:dyDescent="0.2">
      <c r="A143" s="356" t="s">
        <v>259</v>
      </c>
      <c r="B143" s="358" t="s">
        <v>178</v>
      </c>
      <c r="C143" s="344"/>
      <c r="D143" s="138">
        <v>35.9</v>
      </c>
      <c r="E143" s="137">
        <v>3.5</v>
      </c>
    </row>
    <row r="144" spans="1:5" ht="38.25" customHeight="1" x14ac:dyDescent="0.2">
      <c r="A144" s="382" t="s">
        <v>923</v>
      </c>
      <c r="B144" s="334" t="s">
        <v>915</v>
      </c>
      <c r="C144" s="344"/>
      <c r="D144" s="479">
        <f>0.476+0.652+1.18</f>
        <v>2.3079999999999998</v>
      </c>
      <c r="E144" s="188">
        <f>0.476+0.652+1.18</f>
        <v>2.3079999999999998</v>
      </c>
    </row>
    <row r="145" spans="1:5" ht="22.5" customHeight="1" x14ac:dyDescent="0.2">
      <c r="A145" s="356" t="s">
        <v>260</v>
      </c>
      <c r="B145" s="360" t="s">
        <v>179</v>
      </c>
      <c r="C145" s="364" t="s">
        <v>332</v>
      </c>
      <c r="D145" s="175">
        <f>SUM(D146)</f>
        <v>12.2</v>
      </c>
      <c r="E145" s="174">
        <f>SUM(E146)</f>
        <v>2.7</v>
      </c>
    </row>
    <row r="146" spans="1:5" x14ac:dyDescent="0.2">
      <c r="A146" s="359" t="s">
        <v>261</v>
      </c>
      <c r="B146" s="239" t="s">
        <v>172</v>
      </c>
      <c r="C146" s="384"/>
      <c r="D146" s="161">
        <v>12.2</v>
      </c>
      <c r="E146" s="177">
        <v>2.7</v>
      </c>
    </row>
    <row r="147" spans="1:5" s="92" customFormat="1" x14ac:dyDescent="0.2">
      <c r="A147" s="353" t="s">
        <v>112</v>
      </c>
      <c r="B147" s="354" t="s">
        <v>113</v>
      </c>
      <c r="C147" s="354"/>
      <c r="D147" s="315">
        <f>SUM(D149+D155)</f>
        <v>1958.9519999999998</v>
      </c>
      <c r="E147" s="311">
        <f>SUM(E149+E155)</f>
        <v>1537.2520000000002</v>
      </c>
    </row>
    <row r="148" spans="1:5" x14ac:dyDescent="0.2">
      <c r="A148" s="356"/>
      <c r="B148" s="344" t="s">
        <v>168</v>
      </c>
      <c r="C148" s="344"/>
      <c r="D148" s="315"/>
      <c r="E148" s="188"/>
    </row>
    <row r="149" spans="1:5" x14ac:dyDescent="0.2">
      <c r="A149" s="356" t="s">
        <v>262</v>
      </c>
      <c r="B149" s="357" t="s">
        <v>169</v>
      </c>
      <c r="C149" s="364" t="s">
        <v>170</v>
      </c>
      <c r="D149" s="316">
        <f>SUM(D150:D154)</f>
        <v>1939.7519999999997</v>
      </c>
      <c r="E149" s="206">
        <f>SUM(E150:E154)</f>
        <v>1528.2520000000002</v>
      </c>
    </row>
    <row r="150" spans="1:5" x14ac:dyDescent="0.2">
      <c r="A150" s="356" t="s">
        <v>263</v>
      </c>
      <c r="B150" s="358" t="s">
        <v>172</v>
      </c>
      <c r="C150" s="364"/>
      <c r="D150" s="138">
        <f>965.8+46+6.9</f>
        <v>1018.6999999999999</v>
      </c>
      <c r="E150" s="137">
        <v>719</v>
      </c>
    </row>
    <row r="151" spans="1:5" ht="12.75" customHeight="1" x14ac:dyDescent="0.2">
      <c r="A151" s="359" t="s">
        <v>264</v>
      </c>
      <c r="B151" s="239" t="s">
        <v>174</v>
      </c>
      <c r="C151" s="344"/>
      <c r="D151" s="138">
        <v>829.5</v>
      </c>
      <c r="E151" s="137">
        <v>793.9</v>
      </c>
    </row>
    <row r="152" spans="1:5" ht="12.75" customHeight="1" x14ac:dyDescent="0.2">
      <c r="A152" s="359" t="s">
        <v>265</v>
      </c>
      <c r="B152" s="239" t="s">
        <v>188</v>
      </c>
      <c r="C152" s="344"/>
      <c r="D152" s="138">
        <v>1.5</v>
      </c>
      <c r="E152" s="137">
        <v>1.5</v>
      </c>
    </row>
    <row r="153" spans="1:5" x14ac:dyDescent="0.2">
      <c r="A153" s="356" t="s">
        <v>266</v>
      </c>
      <c r="B153" s="358" t="s">
        <v>178</v>
      </c>
      <c r="C153" s="344"/>
      <c r="D153" s="138">
        <v>87.6</v>
      </c>
      <c r="E153" s="137">
        <v>11.4</v>
      </c>
    </row>
    <row r="154" spans="1:5" ht="33.75" customHeight="1" x14ac:dyDescent="0.2">
      <c r="A154" s="224" t="s">
        <v>924</v>
      </c>
      <c r="B154" s="334" t="s">
        <v>915</v>
      </c>
      <c r="C154" s="344"/>
      <c r="D154" s="479">
        <f>0.248+0.9+1.304</f>
        <v>2.452</v>
      </c>
      <c r="E154" s="188">
        <f>0.248+0.9+1.304</f>
        <v>2.452</v>
      </c>
    </row>
    <row r="155" spans="1:5" ht="24" x14ac:dyDescent="0.2">
      <c r="A155" s="356" t="s">
        <v>267</v>
      </c>
      <c r="B155" s="385" t="s">
        <v>179</v>
      </c>
      <c r="C155" s="364" t="s">
        <v>332</v>
      </c>
      <c r="D155" s="173">
        <f>SUM(D156)</f>
        <v>19.2</v>
      </c>
      <c r="E155" s="174">
        <f>SUM(E156)</f>
        <v>9</v>
      </c>
    </row>
    <row r="156" spans="1:5" x14ac:dyDescent="0.2">
      <c r="A156" s="356" t="s">
        <v>268</v>
      </c>
      <c r="B156" s="239" t="s">
        <v>172</v>
      </c>
      <c r="C156" s="327"/>
      <c r="D156" s="136">
        <v>19.2</v>
      </c>
      <c r="E156" s="137">
        <v>9</v>
      </c>
    </row>
    <row r="157" spans="1:5" s="92" customFormat="1" x14ac:dyDescent="0.2">
      <c r="A157" s="353" t="s">
        <v>114</v>
      </c>
      <c r="B157" s="386" t="s">
        <v>269</v>
      </c>
      <c r="C157" s="355"/>
      <c r="D157" s="171">
        <f>SUM(D159+D164)</f>
        <v>1367.1</v>
      </c>
      <c r="E157" s="172">
        <f>SUM(E159+E164)</f>
        <v>923.59999999999991</v>
      </c>
    </row>
    <row r="158" spans="1:5" x14ac:dyDescent="0.2">
      <c r="A158" s="356"/>
      <c r="B158" s="344" t="s">
        <v>168</v>
      </c>
      <c r="C158" s="327"/>
      <c r="D158" s="178"/>
      <c r="E158" s="137"/>
    </row>
    <row r="159" spans="1:5" x14ac:dyDescent="0.2">
      <c r="A159" s="356" t="s">
        <v>270</v>
      </c>
      <c r="B159" s="357" t="s">
        <v>169</v>
      </c>
      <c r="C159" s="155" t="s">
        <v>170</v>
      </c>
      <c r="D159" s="173">
        <f>SUM(D160:D163)</f>
        <v>1354.6</v>
      </c>
      <c r="E159" s="174">
        <f>SUM(E160:E163)</f>
        <v>917.59999999999991</v>
      </c>
    </row>
    <row r="160" spans="1:5" x14ac:dyDescent="0.2">
      <c r="A160" s="356" t="s">
        <v>271</v>
      </c>
      <c r="B160" s="358" t="s">
        <v>172</v>
      </c>
      <c r="C160" s="155"/>
      <c r="D160" s="136">
        <f>570.3+140.9+139.7</f>
        <v>850.89999999999986</v>
      </c>
      <c r="E160" s="137">
        <f>450+26.5</f>
        <v>476.5</v>
      </c>
    </row>
    <row r="161" spans="1:5" ht="12.75" customHeight="1" x14ac:dyDescent="0.2">
      <c r="A161" s="359" t="s">
        <v>272</v>
      </c>
      <c r="B161" s="239" t="s">
        <v>174</v>
      </c>
      <c r="C161" s="327"/>
      <c r="D161" s="136">
        <v>450.2</v>
      </c>
      <c r="E161" s="137">
        <v>431.3</v>
      </c>
    </row>
    <row r="162" spans="1:5" ht="12.75" customHeight="1" x14ac:dyDescent="0.2">
      <c r="A162" s="359" t="s">
        <v>273</v>
      </c>
      <c r="B162" s="239" t="s">
        <v>188</v>
      </c>
      <c r="C162" s="327"/>
      <c r="D162" s="136">
        <v>1.5</v>
      </c>
      <c r="E162" s="137">
        <v>1.5</v>
      </c>
    </row>
    <row r="163" spans="1:5" x14ac:dyDescent="0.2">
      <c r="A163" s="356" t="s">
        <v>274</v>
      </c>
      <c r="B163" s="358" t="s">
        <v>178</v>
      </c>
      <c r="C163" s="327"/>
      <c r="D163" s="136">
        <v>52</v>
      </c>
      <c r="E163" s="137">
        <v>8.3000000000000007</v>
      </c>
    </row>
    <row r="164" spans="1:5" ht="24" x14ac:dyDescent="0.2">
      <c r="A164" s="359" t="s">
        <v>275</v>
      </c>
      <c r="B164" s="360" t="s">
        <v>179</v>
      </c>
      <c r="C164" s="155" t="s">
        <v>332</v>
      </c>
      <c r="D164" s="173">
        <f>SUM(D165)</f>
        <v>12.5</v>
      </c>
      <c r="E164" s="174">
        <f>SUM(E165)</f>
        <v>6</v>
      </c>
    </row>
    <row r="165" spans="1:5" x14ac:dyDescent="0.2">
      <c r="A165" s="356" t="s">
        <v>276</v>
      </c>
      <c r="B165" s="239" t="s">
        <v>172</v>
      </c>
      <c r="C165" s="327"/>
      <c r="D165" s="136">
        <v>12.5</v>
      </c>
      <c r="E165" s="137">
        <v>6</v>
      </c>
    </row>
    <row r="166" spans="1:5" s="92" customFormat="1" x14ac:dyDescent="0.2">
      <c r="A166" s="353" t="s">
        <v>115</v>
      </c>
      <c r="B166" s="354" t="s">
        <v>116</v>
      </c>
      <c r="C166" s="355"/>
      <c r="D166" s="203">
        <f>SUM(D168+D174)</f>
        <v>1382.0720000000003</v>
      </c>
      <c r="E166" s="204">
        <f>SUM(E168+E174)</f>
        <v>1178.3719999999998</v>
      </c>
    </row>
    <row r="167" spans="1:5" x14ac:dyDescent="0.2">
      <c r="A167" s="356"/>
      <c r="B167" s="344" t="s">
        <v>168</v>
      </c>
      <c r="C167" s="375"/>
      <c r="D167" s="209"/>
      <c r="E167" s="188"/>
    </row>
    <row r="168" spans="1:5" x14ac:dyDescent="0.2">
      <c r="A168" s="356" t="s">
        <v>277</v>
      </c>
      <c r="B168" s="357" t="s">
        <v>169</v>
      </c>
      <c r="C168" s="155" t="s">
        <v>170</v>
      </c>
      <c r="D168" s="205">
        <f>SUM(D169:D173)</f>
        <v>1365.1720000000003</v>
      </c>
      <c r="E168" s="206">
        <f>SUM(E169:E173)</f>
        <v>1169.2719999999999</v>
      </c>
    </row>
    <row r="169" spans="1:5" x14ac:dyDescent="0.2">
      <c r="A169" s="356" t="s">
        <v>278</v>
      </c>
      <c r="B169" s="358" t="s">
        <v>172</v>
      </c>
      <c r="C169" s="155"/>
      <c r="D169" s="136">
        <f>854.9+5+10.3</f>
        <v>870.19999999999993</v>
      </c>
      <c r="E169" s="137">
        <v>755.9</v>
      </c>
    </row>
    <row r="170" spans="1:5" ht="12.75" customHeight="1" x14ac:dyDescent="0.2">
      <c r="A170" s="359" t="s">
        <v>279</v>
      </c>
      <c r="B170" s="239" t="s">
        <v>174</v>
      </c>
      <c r="C170" s="375"/>
      <c r="D170" s="136">
        <v>389.8</v>
      </c>
      <c r="E170" s="137">
        <v>371.4</v>
      </c>
    </row>
    <row r="171" spans="1:5" x14ac:dyDescent="0.2">
      <c r="A171" s="359" t="s">
        <v>280</v>
      </c>
      <c r="B171" s="239" t="s">
        <v>188</v>
      </c>
      <c r="C171" s="375"/>
      <c r="D171" s="136">
        <f>1.5+26.4</f>
        <v>27.9</v>
      </c>
      <c r="E171" s="137">
        <f>1.5+26</f>
        <v>27.5</v>
      </c>
    </row>
    <row r="172" spans="1:5" x14ac:dyDescent="0.2">
      <c r="A172" s="356" t="s">
        <v>281</v>
      </c>
      <c r="B172" s="358" t="s">
        <v>178</v>
      </c>
      <c r="C172" s="387"/>
      <c r="D172" s="136">
        <v>76.900000000000006</v>
      </c>
      <c r="E172" s="146">
        <v>14.1</v>
      </c>
    </row>
    <row r="173" spans="1:5" ht="34.5" customHeight="1" x14ac:dyDescent="0.2">
      <c r="A173" s="224" t="s">
        <v>947</v>
      </c>
      <c r="B173" s="334" t="s">
        <v>915</v>
      </c>
      <c r="C173" s="356"/>
      <c r="D173" s="207">
        <f>0.124+0.248</f>
        <v>0.372</v>
      </c>
      <c r="E173" s="218">
        <f>0.124+0.248</f>
        <v>0.372</v>
      </c>
    </row>
    <row r="174" spans="1:5" ht="24" x14ac:dyDescent="0.2">
      <c r="A174" s="356" t="s">
        <v>282</v>
      </c>
      <c r="B174" s="388" t="s">
        <v>179</v>
      </c>
      <c r="C174" s="361" t="s">
        <v>332</v>
      </c>
      <c r="D174" s="173">
        <f>SUM(D175)</f>
        <v>16.899999999999999</v>
      </c>
      <c r="E174" s="192">
        <f>SUM(E175)</f>
        <v>9.1</v>
      </c>
    </row>
    <row r="175" spans="1:5" x14ac:dyDescent="0.2">
      <c r="A175" s="359" t="s">
        <v>283</v>
      </c>
      <c r="B175" s="389" t="s">
        <v>172</v>
      </c>
      <c r="C175" s="387"/>
      <c r="D175" s="161">
        <v>16.899999999999999</v>
      </c>
      <c r="E175" s="146">
        <v>9.1</v>
      </c>
    </row>
    <row r="176" spans="1:5" s="92" customFormat="1" x14ac:dyDescent="0.2">
      <c r="A176" s="353" t="s">
        <v>117</v>
      </c>
      <c r="B176" s="354" t="s">
        <v>118</v>
      </c>
      <c r="C176" s="354"/>
      <c r="D176" s="315">
        <f>SUM(D178+D184)</f>
        <v>1460.8720000000003</v>
      </c>
      <c r="E176" s="317">
        <f>SUM(E178+E184)</f>
        <v>1250.0719999999999</v>
      </c>
    </row>
    <row r="177" spans="1:5" x14ac:dyDescent="0.2">
      <c r="A177" s="356"/>
      <c r="B177" s="344" t="s">
        <v>168</v>
      </c>
      <c r="C177" s="387"/>
      <c r="D177" s="315"/>
      <c r="E177" s="218"/>
    </row>
    <row r="178" spans="1:5" x14ac:dyDescent="0.2">
      <c r="A178" s="356" t="s">
        <v>284</v>
      </c>
      <c r="B178" s="357" t="s">
        <v>169</v>
      </c>
      <c r="C178" s="364" t="s">
        <v>170</v>
      </c>
      <c r="D178" s="316">
        <f>SUM(D179:D183)</f>
        <v>1444.4720000000002</v>
      </c>
      <c r="E178" s="206">
        <f>SUM(E179:E183)</f>
        <v>1243.472</v>
      </c>
    </row>
    <row r="179" spans="1:5" x14ac:dyDescent="0.2">
      <c r="A179" s="356" t="s">
        <v>285</v>
      </c>
      <c r="B179" s="358" t="s">
        <v>172</v>
      </c>
      <c r="C179" s="364"/>
      <c r="D179" s="138">
        <f>881.8+3.2</f>
        <v>885</v>
      </c>
      <c r="E179" s="137">
        <v>784.4</v>
      </c>
    </row>
    <row r="180" spans="1:5" ht="12.75" customHeight="1" x14ac:dyDescent="0.2">
      <c r="A180" s="359" t="s">
        <v>286</v>
      </c>
      <c r="B180" s="239" t="s">
        <v>174</v>
      </c>
      <c r="C180" s="387"/>
      <c r="D180" s="138">
        <v>428.4</v>
      </c>
      <c r="E180" s="137">
        <v>409.8</v>
      </c>
    </row>
    <row r="181" spans="1:5" x14ac:dyDescent="0.2">
      <c r="A181" s="359" t="s">
        <v>287</v>
      </c>
      <c r="B181" s="239" t="s">
        <v>188</v>
      </c>
      <c r="C181" s="387"/>
      <c r="D181" s="138">
        <f>1.5+31</f>
        <v>32.5</v>
      </c>
      <c r="E181" s="137">
        <f>1.5+30.6</f>
        <v>32.1</v>
      </c>
    </row>
    <row r="182" spans="1:5" x14ac:dyDescent="0.2">
      <c r="A182" s="356" t="s">
        <v>288</v>
      </c>
      <c r="B182" s="358" t="s">
        <v>178</v>
      </c>
      <c r="C182" s="387"/>
      <c r="D182" s="138">
        <v>98.2</v>
      </c>
      <c r="E182" s="137">
        <v>16.8</v>
      </c>
    </row>
    <row r="183" spans="1:5" ht="34.5" customHeight="1" x14ac:dyDescent="0.2">
      <c r="A183" s="224" t="s">
        <v>925</v>
      </c>
      <c r="B183" s="334" t="s">
        <v>915</v>
      </c>
      <c r="C183" s="387"/>
      <c r="D183" s="479">
        <f>0.124+0.124+0.124</f>
        <v>0.372</v>
      </c>
      <c r="E183" s="188">
        <f>0.124+0.124+0.124</f>
        <v>0.372</v>
      </c>
    </row>
    <row r="184" spans="1:5" ht="24" x14ac:dyDescent="0.2">
      <c r="A184" s="359" t="s">
        <v>289</v>
      </c>
      <c r="B184" s="360" t="s">
        <v>179</v>
      </c>
      <c r="C184" s="364" t="s">
        <v>332</v>
      </c>
      <c r="D184" s="175">
        <f>SUM(D185)</f>
        <v>16.399999999999999</v>
      </c>
      <c r="E184" s="174">
        <f>SUM(E185)</f>
        <v>6.6</v>
      </c>
    </row>
    <row r="185" spans="1:5" x14ac:dyDescent="0.2">
      <c r="A185" s="359" t="s">
        <v>290</v>
      </c>
      <c r="B185" s="390" t="s">
        <v>172</v>
      </c>
      <c r="C185" s="391"/>
      <c r="D185" s="161">
        <v>16.399999999999999</v>
      </c>
      <c r="E185" s="137">
        <v>6.6</v>
      </c>
    </row>
    <row r="186" spans="1:5" s="92" customFormat="1" x14ac:dyDescent="0.2">
      <c r="A186" s="353" t="s">
        <v>119</v>
      </c>
      <c r="B186" s="354" t="s">
        <v>120</v>
      </c>
      <c r="C186" s="355"/>
      <c r="D186" s="203">
        <f>SUM(D188+D194)</f>
        <v>1449.2199999999998</v>
      </c>
      <c r="E186" s="204">
        <f>SUM(E188+E194)</f>
        <v>1151.6199999999997</v>
      </c>
    </row>
    <row r="187" spans="1:5" x14ac:dyDescent="0.2">
      <c r="A187" s="356"/>
      <c r="B187" s="344" t="s">
        <v>168</v>
      </c>
      <c r="C187" s="375"/>
      <c r="D187" s="209"/>
      <c r="E187" s="188"/>
    </row>
    <row r="188" spans="1:5" x14ac:dyDescent="0.2">
      <c r="A188" s="356" t="s">
        <v>291</v>
      </c>
      <c r="B188" s="357" t="s">
        <v>169</v>
      </c>
      <c r="C188" s="155" t="s">
        <v>170</v>
      </c>
      <c r="D188" s="205">
        <f>SUM(D189:D193)</f>
        <v>1437.2199999999998</v>
      </c>
      <c r="E188" s="206">
        <f>SUM(E189:E193)</f>
        <v>1146.8199999999997</v>
      </c>
    </row>
    <row r="189" spans="1:5" x14ac:dyDescent="0.2">
      <c r="A189" s="356" t="s">
        <v>292</v>
      </c>
      <c r="B189" s="358" t="s">
        <v>172</v>
      </c>
      <c r="C189" s="155"/>
      <c r="D189" s="136">
        <f>803+108.3</f>
        <v>911.3</v>
      </c>
      <c r="E189" s="137">
        <v>711.8</v>
      </c>
    </row>
    <row r="190" spans="1:5" ht="12.75" customHeight="1" x14ac:dyDescent="0.2">
      <c r="A190" s="359" t="s">
        <v>293</v>
      </c>
      <c r="B190" s="239" t="s">
        <v>174</v>
      </c>
      <c r="C190" s="375"/>
      <c r="D190" s="136">
        <v>409.3</v>
      </c>
      <c r="E190" s="137">
        <v>393.8</v>
      </c>
    </row>
    <row r="191" spans="1:5" x14ac:dyDescent="0.2">
      <c r="A191" s="359" t="s">
        <v>294</v>
      </c>
      <c r="B191" s="239" t="s">
        <v>188</v>
      </c>
      <c r="C191" s="375"/>
      <c r="D191" s="136">
        <f>1.5+26.4</f>
        <v>27.9</v>
      </c>
      <c r="E191" s="137">
        <f>1.5+26</f>
        <v>27.5</v>
      </c>
    </row>
    <row r="192" spans="1:5" x14ac:dyDescent="0.2">
      <c r="A192" s="356" t="s">
        <v>295</v>
      </c>
      <c r="B192" s="358" t="s">
        <v>178</v>
      </c>
      <c r="C192" s="375"/>
      <c r="D192" s="136">
        <v>88.1</v>
      </c>
      <c r="E192" s="137">
        <v>13.1</v>
      </c>
    </row>
    <row r="193" spans="1:5" ht="35.25" customHeight="1" x14ac:dyDescent="0.2">
      <c r="A193" s="224" t="s">
        <v>926</v>
      </c>
      <c r="B193" s="334" t="s">
        <v>915</v>
      </c>
      <c r="C193" s="375"/>
      <c r="D193" s="207">
        <f>0.124+0.124+0.372</f>
        <v>0.62</v>
      </c>
      <c r="E193" s="188">
        <f>0.124+0.124+0.372</f>
        <v>0.62</v>
      </c>
    </row>
    <row r="194" spans="1:5" ht="24" x14ac:dyDescent="0.2">
      <c r="A194" s="356" t="s">
        <v>296</v>
      </c>
      <c r="B194" s="360" t="s">
        <v>179</v>
      </c>
      <c r="C194" s="155" t="s">
        <v>332</v>
      </c>
      <c r="D194" s="173">
        <f>SUM(D195)</f>
        <v>12</v>
      </c>
      <c r="E194" s="174">
        <f>SUM(E195)</f>
        <v>4.8</v>
      </c>
    </row>
    <row r="195" spans="1:5" x14ac:dyDescent="0.2">
      <c r="A195" s="359" t="s">
        <v>297</v>
      </c>
      <c r="B195" s="239" t="s">
        <v>172</v>
      </c>
      <c r="C195" s="375"/>
      <c r="D195" s="161">
        <v>12</v>
      </c>
      <c r="E195" s="137">
        <v>4.8</v>
      </c>
    </row>
    <row r="196" spans="1:5" s="92" customFormat="1" ht="12.75" customHeight="1" x14ac:dyDescent="0.2">
      <c r="A196" s="392" t="s">
        <v>121</v>
      </c>
      <c r="B196" s="393" t="s">
        <v>122</v>
      </c>
      <c r="C196" s="394"/>
      <c r="D196" s="315">
        <f>SUM(D198+D204)</f>
        <v>1587.9880000000003</v>
      </c>
      <c r="E196" s="204">
        <f>SUM(E198+E204)</f>
        <v>1333.8880000000001</v>
      </c>
    </row>
    <row r="197" spans="1:5" x14ac:dyDescent="0.2">
      <c r="A197" s="356"/>
      <c r="B197" s="344" t="s">
        <v>168</v>
      </c>
      <c r="C197" s="387"/>
      <c r="D197" s="315"/>
      <c r="E197" s="188"/>
    </row>
    <row r="198" spans="1:5" x14ac:dyDescent="0.2">
      <c r="A198" s="356" t="s">
        <v>298</v>
      </c>
      <c r="B198" s="357" t="s">
        <v>169</v>
      </c>
      <c r="C198" s="364" t="s">
        <v>170</v>
      </c>
      <c r="D198" s="316">
        <f>SUM(D199:D203)</f>
        <v>1567.2880000000002</v>
      </c>
      <c r="E198" s="206">
        <f>SUM(E199:E203)</f>
        <v>1323.5880000000002</v>
      </c>
    </row>
    <row r="199" spans="1:5" x14ac:dyDescent="0.2">
      <c r="A199" s="356" t="s">
        <v>299</v>
      </c>
      <c r="B199" s="358" t="s">
        <v>172</v>
      </c>
      <c r="C199" s="364"/>
      <c r="D199" s="138">
        <f>984.6+8.2</f>
        <v>992.80000000000007</v>
      </c>
      <c r="E199" s="137">
        <v>843.2</v>
      </c>
    </row>
    <row r="200" spans="1:5" ht="12.75" customHeight="1" x14ac:dyDescent="0.2">
      <c r="A200" s="359" t="s">
        <v>300</v>
      </c>
      <c r="B200" s="239" t="s">
        <v>174</v>
      </c>
      <c r="C200" s="387"/>
      <c r="D200" s="138">
        <v>449.9</v>
      </c>
      <c r="E200" s="137">
        <v>431.7</v>
      </c>
    </row>
    <row r="201" spans="1:5" x14ac:dyDescent="0.2">
      <c r="A201" s="359" t="s">
        <v>301</v>
      </c>
      <c r="B201" s="239" t="s">
        <v>188</v>
      </c>
      <c r="C201" s="387"/>
      <c r="D201" s="138">
        <f>1.5+30.9</f>
        <v>32.4</v>
      </c>
      <c r="E201" s="137">
        <f>1.5+30.5</f>
        <v>32</v>
      </c>
    </row>
    <row r="202" spans="1:5" x14ac:dyDescent="0.2">
      <c r="A202" s="359" t="s">
        <v>302</v>
      </c>
      <c r="B202" s="239" t="s">
        <v>178</v>
      </c>
      <c r="C202" s="387"/>
      <c r="D202" s="138">
        <v>90.7</v>
      </c>
      <c r="E202" s="137">
        <v>15.2</v>
      </c>
    </row>
    <row r="203" spans="1:5" ht="35.25" customHeight="1" x14ac:dyDescent="0.2">
      <c r="A203" s="229" t="s">
        <v>927</v>
      </c>
      <c r="B203" s="334" t="s">
        <v>915</v>
      </c>
      <c r="C203" s="387"/>
      <c r="D203" s="479">
        <f>0.372+0.62+0.496</f>
        <v>1.488</v>
      </c>
      <c r="E203" s="188">
        <f>0.372+0.62+0.496</f>
        <v>1.488</v>
      </c>
    </row>
    <row r="204" spans="1:5" ht="24" x14ac:dyDescent="0.2">
      <c r="A204" s="359" t="s">
        <v>303</v>
      </c>
      <c r="B204" s="360" t="s">
        <v>179</v>
      </c>
      <c r="C204" s="364" t="s">
        <v>332</v>
      </c>
      <c r="D204" s="175">
        <f>SUM(D205)</f>
        <v>20.7</v>
      </c>
      <c r="E204" s="174">
        <f>SUM(E205)</f>
        <v>10.3</v>
      </c>
    </row>
    <row r="205" spans="1:5" x14ac:dyDescent="0.2">
      <c r="A205" s="356" t="s">
        <v>304</v>
      </c>
      <c r="B205" s="358" t="s">
        <v>172</v>
      </c>
      <c r="C205" s="391"/>
      <c r="D205" s="161">
        <v>20.7</v>
      </c>
      <c r="E205" s="137">
        <v>10.3</v>
      </c>
    </row>
    <row r="206" spans="1:5" s="92" customFormat="1" ht="12" customHeight="1" x14ac:dyDescent="0.2">
      <c r="A206" s="392" t="s">
        <v>123</v>
      </c>
      <c r="B206" s="354" t="s">
        <v>124</v>
      </c>
      <c r="C206" s="394"/>
      <c r="D206" s="315">
        <f>SUM(D208+D214)</f>
        <v>1525.8679999999999</v>
      </c>
      <c r="E206" s="204">
        <f>SUM(E208+E214)</f>
        <v>1234.568</v>
      </c>
    </row>
    <row r="207" spans="1:5" x14ac:dyDescent="0.2">
      <c r="A207" s="356"/>
      <c r="B207" s="344" t="s">
        <v>168</v>
      </c>
      <c r="C207" s="387"/>
      <c r="D207" s="315"/>
      <c r="E207" s="188"/>
    </row>
    <row r="208" spans="1:5" x14ac:dyDescent="0.2">
      <c r="A208" s="356" t="s">
        <v>305</v>
      </c>
      <c r="B208" s="357" t="s">
        <v>169</v>
      </c>
      <c r="C208" s="364" t="s">
        <v>170</v>
      </c>
      <c r="D208" s="316">
        <f>SUM(D209:D213)</f>
        <v>1507.268</v>
      </c>
      <c r="E208" s="206">
        <f>SUM(E209:E213)</f>
        <v>1225.568</v>
      </c>
    </row>
    <row r="209" spans="1:5" x14ac:dyDescent="0.2">
      <c r="A209" s="356" t="s">
        <v>306</v>
      </c>
      <c r="B209" s="358" t="s">
        <v>172</v>
      </c>
      <c r="C209" s="364"/>
      <c r="D209" s="138">
        <v>915.7</v>
      </c>
      <c r="E209" s="137">
        <v>739.9</v>
      </c>
    </row>
    <row r="210" spans="1:5" s="92" customFormat="1" ht="12.75" customHeight="1" x14ac:dyDescent="0.2">
      <c r="A210" s="359" t="s">
        <v>307</v>
      </c>
      <c r="B210" s="239" t="s">
        <v>174</v>
      </c>
      <c r="C210" s="387"/>
      <c r="D210" s="138">
        <v>455.5</v>
      </c>
      <c r="E210" s="137">
        <v>437.6</v>
      </c>
    </row>
    <row r="211" spans="1:5" s="92" customFormat="1" x14ac:dyDescent="0.2">
      <c r="A211" s="359" t="s">
        <v>308</v>
      </c>
      <c r="B211" s="239" t="s">
        <v>188</v>
      </c>
      <c r="C211" s="387"/>
      <c r="D211" s="138">
        <f>1.5+28.3</f>
        <v>29.8</v>
      </c>
      <c r="E211" s="137">
        <f>1.5+27.9</f>
        <v>29.4</v>
      </c>
    </row>
    <row r="212" spans="1:5" s="92" customFormat="1" x14ac:dyDescent="0.2">
      <c r="A212" s="359" t="s">
        <v>309</v>
      </c>
      <c r="B212" s="239" t="s">
        <v>178</v>
      </c>
      <c r="C212" s="387"/>
      <c r="D212" s="138">
        <v>105.4</v>
      </c>
      <c r="E212" s="137">
        <v>17.8</v>
      </c>
    </row>
    <row r="213" spans="1:5" s="92" customFormat="1" ht="34.5" customHeight="1" x14ac:dyDescent="0.2">
      <c r="A213" s="229" t="s">
        <v>928</v>
      </c>
      <c r="B213" s="334" t="s">
        <v>915</v>
      </c>
      <c r="C213" s="387"/>
      <c r="D213" s="479">
        <f>0.124+0.372+0.372</f>
        <v>0.86799999999999999</v>
      </c>
      <c r="E213" s="188">
        <f>0.124+0.372+0.372</f>
        <v>0.86799999999999999</v>
      </c>
    </row>
    <row r="214" spans="1:5" s="92" customFormat="1" ht="24" x14ac:dyDescent="0.2">
      <c r="A214" s="359" t="s">
        <v>310</v>
      </c>
      <c r="B214" s="360" t="s">
        <v>179</v>
      </c>
      <c r="C214" s="364" t="s">
        <v>332</v>
      </c>
      <c r="D214" s="175">
        <f>SUM(D215)</f>
        <v>18.600000000000001</v>
      </c>
      <c r="E214" s="174">
        <f>SUM(E215)</f>
        <v>9</v>
      </c>
    </row>
    <row r="215" spans="1:5" x14ac:dyDescent="0.2">
      <c r="A215" s="356" t="s">
        <v>311</v>
      </c>
      <c r="B215" s="358" t="s">
        <v>172</v>
      </c>
      <c r="C215" s="391"/>
      <c r="D215" s="138">
        <v>18.600000000000001</v>
      </c>
      <c r="E215" s="177">
        <v>9</v>
      </c>
    </row>
    <row r="216" spans="1:5" s="92" customFormat="1" x14ac:dyDescent="0.2">
      <c r="A216" s="353" t="s">
        <v>125</v>
      </c>
      <c r="B216" s="354" t="s">
        <v>126</v>
      </c>
      <c r="C216" s="355"/>
      <c r="D216" s="171">
        <f>SUM(D218+D223)</f>
        <v>1295.7</v>
      </c>
      <c r="E216" s="172">
        <f>SUM(E218+E223)</f>
        <v>1184.5999999999999</v>
      </c>
    </row>
    <row r="217" spans="1:5" x14ac:dyDescent="0.2">
      <c r="A217" s="356"/>
      <c r="B217" s="344" t="s">
        <v>168</v>
      </c>
      <c r="C217" s="375"/>
      <c r="D217" s="178"/>
      <c r="E217" s="137"/>
    </row>
    <row r="218" spans="1:5" x14ac:dyDescent="0.2">
      <c r="A218" s="356" t="s">
        <v>312</v>
      </c>
      <c r="B218" s="357" t="s">
        <v>169</v>
      </c>
      <c r="C218" s="155" t="s">
        <v>170</v>
      </c>
      <c r="D218" s="173">
        <f>SUM(D219:D222)</f>
        <v>1279.2</v>
      </c>
      <c r="E218" s="174">
        <f>SUM(E219:E222)</f>
        <v>1178.3</v>
      </c>
    </row>
    <row r="219" spans="1:5" x14ac:dyDescent="0.2">
      <c r="A219" s="356" t="s">
        <v>313</v>
      </c>
      <c r="B219" s="358" t="s">
        <v>172</v>
      </c>
      <c r="C219" s="155"/>
      <c r="D219" s="136">
        <f>1063.4+3+1.1+3</f>
        <v>1070.5</v>
      </c>
      <c r="E219" s="137">
        <v>992.5</v>
      </c>
    </row>
    <row r="220" spans="1:5" ht="12.75" customHeight="1" x14ac:dyDescent="0.2">
      <c r="A220" s="359" t="s">
        <v>314</v>
      </c>
      <c r="B220" s="239" t="s">
        <v>174</v>
      </c>
      <c r="C220" s="375"/>
      <c r="D220" s="136">
        <v>83.3</v>
      </c>
      <c r="E220" s="137">
        <v>82.1</v>
      </c>
    </row>
    <row r="221" spans="1:5" x14ac:dyDescent="0.2">
      <c r="A221" s="359" t="s">
        <v>315</v>
      </c>
      <c r="B221" s="239" t="s">
        <v>178</v>
      </c>
      <c r="C221" s="375"/>
      <c r="D221" s="136">
        <v>67.7</v>
      </c>
      <c r="E221" s="137">
        <v>46.8</v>
      </c>
    </row>
    <row r="222" spans="1:5" x14ac:dyDescent="0.2">
      <c r="A222" s="229" t="s">
        <v>847</v>
      </c>
      <c r="B222" s="239" t="s">
        <v>188</v>
      </c>
      <c r="C222" s="375"/>
      <c r="D222" s="136">
        <v>57.7</v>
      </c>
      <c r="E222" s="137">
        <v>56.9</v>
      </c>
    </row>
    <row r="223" spans="1:5" ht="24" x14ac:dyDescent="0.2">
      <c r="A223" s="359" t="s">
        <v>316</v>
      </c>
      <c r="B223" s="360" t="s">
        <v>179</v>
      </c>
      <c r="C223" s="155" t="s">
        <v>332</v>
      </c>
      <c r="D223" s="173">
        <f>SUM(D224)</f>
        <v>16.5</v>
      </c>
      <c r="E223" s="174">
        <f>SUM(E224)</f>
        <v>6.3</v>
      </c>
    </row>
    <row r="224" spans="1:5" x14ac:dyDescent="0.2">
      <c r="A224" s="356" t="s">
        <v>317</v>
      </c>
      <c r="B224" s="395" t="s">
        <v>172</v>
      </c>
      <c r="C224" s="375"/>
      <c r="D224" s="136">
        <v>16.5</v>
      </c>
      <c r="E224" s="137">
        <v>6.3</v>
      </c>
    </row>
    <row r="225" spans="1:5" s="92" customFormat="1" x14ac:dyDescent="0.2">
      <c r="A225" s="353" t="s">
        <v>127</v>
      </c>
      <c r="B225" s="343" t="s">
        <v>128</v>
      </c>
      <c r="C225" s="355"/>
      <c r="D225" s="171">
        <f>SUM(D227+D232)</f>
        <v>365.09999999999991</v>
      </c>
      <c r="E225" s="172">
        <f>SUM(E227+E232)</f>
        <v>297.3</v>
      </c>
    </row>
    <row r="226" spans="1:5" x14ac:dyDescent="0.2">
      <c r="A226" s="356"/>
      <c r="B226" s="344" t="s">
        <v>168</v>
      </c>
      <c r="C226" s="375"/>
      <c r="D226" s="178"/>
      <c r="E226" s="137"/>
    </row>
    <row r="227" spans="1:5" x14ac:dyDescent="0.2">
      <c r="A227" s="356" t="s">
        <v>318</v>
      </c>
      <c r="B227" s="357" t="s">
        <v>169</v>
      </c>
      <c r="C227" s="155" t="s">
        <v>170</v>
      </c>
      <c r="D227" s="173">
        <f>SUM(D228:D231)</f>
        <v>357.69999999999993</v>
      </c>
      <c r="E227" s="174">
        <f>SUM(E228:E231)</f>
        <v>294.10000000000002</v>
      </c>
    </row>
    <row r="228" spans="1:5" x14ac:dyDescent="0.2">
      <c r="A228" s="359" t="s">
        <v>319</v>
      </c>
      <c r="B228" s="358" t="s">
        <v>172</v>
      </c>
      <c r="C228" s="155"/>
      <c r="D228" s="136">
        <f>280.9+16.7</f>
        <v>297.59999999999997</v>
      </c>
      <c r="E228" s="137">
        <v>243.9</v>
      </c>
    </row>
    <row r="229" spans="1:5" ht="12.75" customHeight="1" x14ac:dyDescent="0.2">
      <c r="A229" s="359" t="s">
        <v>320</v>
      </c>
      <c r="B229" s="239" t="s">
        <v>174</v>
      </c>
      <c r="C229" s="375"/>
      <c r="D229" s="136">
        <v>33.4</v>
      </c>
      <c r="E229" s="137">
        <v>32.9</v>
      </c>
    </row>
    <row r="230" spans="1:5" x14ac:dyDescent="0.2">
      <c r="A230" s="359" t="s">
        <v>321</v>
      </c>
      <c r="B230" s="239" t="s">
        <v>178</v>
      </c>
      <c r="C230" s="375"/>
      <c r="D230" s="136">
        <v>16.399999999999999</v>
      </c>
      <c r="E230" s="137">
        <v>7.1</v>
      </c>
    </row>
    <row r="231" spans="1:5" x14ac:dyDescent="0.2">
      <c r="A231" s="229" t="s">
        <v>789</v>
      </c>
      <c r="B231" s="239" t="s">
        <v>188</v>
      </c>
      <c r="C231" s="375"/>
      <c r="D231" s="136">
        <v>10.3</v>
      </c>
      <c r="E231" s="137">
        <v>10.199999999999999</v>
      </c>
    </row>
    <row r="232" spans="1:5" ht="24" x14ac:dyDescent="0.2">
      <c r="A232" s="359" t="s">
        <v>322</v>
      </c>
      <c r="B232" s="360" t="s">
        <v>179</v>
      </c>
      <c r="C232" s="155" t="s">
        <v>332</v>
      </c>
      <c r="D232" s="173">
        <f>SUM(D233)</f>
        <v>7.4</v>
      </c>
      <c r="E232" s="174">
        <f>SUM(E233)</f>
        <v>3.2</v>
      </c>
    </row>
    <row r="233" spans="1:5" x14ac:dyDescent="0.2">
      <c r="A233" s="356" t="s">
        <v>323</v>
      </c>
      <c r="B233" s="395" t="s">
        <v>172</v>
      </c>
      <c r="C233" s="396"/>
      <c r="D233" s="161">
        <v>7.4</v>
      </c>
      <c r="E233" s="181">
        <v>3.2</v>
      </c>
    </row>
    <row r="234" spans="1:5" s="92" customFormat="1" x14ac:dyDescent="0.2">
      <c r="A234" s="354" t="s">
        <v>129</v>
      </c>
      <c r="B234" s="354" t="s">
        <v>130</v>
      </c>
      <c r="C234" s="374"/>
      <c r="D234" s="203">
        <f>SUM(D236+D240+D242)</f>
        <v>1136.2040000000002</v>
      </c>
      <c r="E234" s="179">
        <f>SUM(E236+E240+E242)</f>
        <v>693.80000000000007</v>
      </c>
    </row>
    <row r="235" spans="1:5" x14ac:dyDescent="0.2">
      <c r="A235" s="387"/>
      <c r="B235" s="344" t="s">
        <v>168</v>
      </c>
      <c r="C235" s="375"/>
      <c r="D235" s="209"/>
      <c r="E235" s="188"/>
    </row>
    <row r="236" spans="1:5" x14ac:dyDescent="0.2">
      <c r="A236" s="387" t="s">
        <v>324</v>
      </c>
      <c r="B236" s="357" t="s">
        <v>169</v>
      </c>
      <c r="C236" s="155" t="s">
        <v>170</v>
      </c>
      <c r="D236" s="205">
        <f>SUM(D237:D239)</f>
        <v>436.20400000000001</v>
      </c>
      <c r="E236" s="174">
        <f>SUM(E237:E239)</f>
        <v>181.4</v>
      </c>
    </row>
    <row r="237" spans="1:5" x14ac:dyDescent="0.2">
      <c r="A237" s="387" t="s">
        <v>325</v>
      </c>
      <c r="B237" s="358" t="s">
        <v>172</v>
      </c>
      <c r="C237" s="155"/>
      <c r="D237" s="136">
        <f>195.8+120</f>
        <v>315.8</v>
      </c>
      <c r="E237" s="137">
        <v>171.3</v>
      </c>
    </row>
    <row r="238" spans="1:5" x14ac:dyDescent="0.2">
      <c r="A238" s="387" t="s">
        <v>326</v>
      </c>
      <c r="B238" s="358" t="s">
        <v>178</v>
      </c>
      <c r="C238" s="375"/>
      <c r="D238" s="136">
        <v>103.3</v>
      </c>
      <c r="E238" s="137">
        <v>10.1</v>
      </c>
    </row>
    <row r="239" spans="1:5" ht="36.75" customHeight="1" x14ac:dyDescent="0.2">
      <c r="A239" s="224" t="s">
        <v>929</v>
      </c>
      <c r="B239" s="397" t="s">
        <v>930</v>
      </c>
      <c r="C239" s="375"/>
      <c r="D239" s="207">
        <v>17.103999999999999</v>
      </c>
      <c r="E239" s="188"/>
    </row>
    <row r="240" spans="1:5" x14ac:dyDescent="0.2">
      <c r="A240" s="387" t="s">
        <v>327</v>
      </c>
      <c r="B240" s="398" t="s">
        <v>328</v>
      </c>
      <c r="C240" s="155" t="s">
        <v>358</v>
      </c>
      <c r="D240" s="173">
        <f>SUM(D241)</f>
        <v>11.7</v>
      </c>
      <c r="E240" s="174"/>
    </row>
    <row r="241" spans="1:8" ht="12.6" customHeight="1" x14ac:dyDescent="0.2">
      <c r="A241" s="227" t="s">
        <v>329</v>
      </c>
      <c r="B241" s="244" t="s">
        <v>330</v>
      </c>
      <c r="C241" s="375"/>
      <c r="D241" s="195">
        <v>11.7</v>
      </c>
      <c r="E241" s="137"/>
    </row>
    <row r="242" spans="1:8" ht="24" x14ac:dyDescent="0.2">
      <c r="A242" s="227" t="s">
        <v>331</v>
      </c>
      <c r="B242" s="399" t="s">
        <v>179</v>
      </c>
      <c r="C242" s="155" t="s">
        <v>332</v>
      </c>
      <c r="D242" s="173">
        <f>SUM(D243:D244)</f>
        <v>688.30000000000007</v>
      </c>
      <c r="E242" s="174">
        <f>SUM(E243:E244)</f>
        <v>512.40000000000009</v>
      </c>
    </row>
    <row r="243" spans="1:8" x14ac:dyDescent="0.2">
      <c r="A243" s="227" t="s">
        <v>333</v>
      </c>
      <c r="B243" s="400" t="s">
        <v>172</v>
      </c>
      <c r="C243" s="327"/>
      <c r="D243" s="136">
        <f>670.6+13.6+1.1</f>
        <v>685.30000000000007</v>
      </c>
      <c r="E243" s="137">
        <f>502.1+6.2+1.1</f>
        <v>509.40000000000003</v>
      </c>
    </row>
    <row r="244" spans="1:8" x14ac:dyDescent="0.2">
      <c r="A244" s="401" t="s">
        <v>831</v>
      </c>
      <c r="B244" s="395" t="s">
        <v>188</v>
      </c>
      <c r="C244" s="391"/>
      <c r="D244" s="161">
        <v>3</v>
      </c>
      <c r="E244" s="137">
        <v>3</v>
      </c>
    </row>
    <row r="245" spans="1:8" x14ac:dyDescent="0.2">
      <c r="A245" s="354" t="s">
        <v>131</v>
      </c>
      <c r="B245" s="374" t="s">
        <v>334</v>
      </c>
      <c r="C245" s="387"/>
      <c r="D245" s="171">
        <f>SUM(D247+D250)</f>
        <v>314.60000000000002</v>
      </c>
      <c r="E245" s="172">
        <f>SUM(E247+E250)</f>
        <v>293.70000000000005</v>
      </c>
    </row>
    <row r="246" spans="1:8" x14ac:dyDescent="0.2">
      <c r="A246" s="387"/>
      <c r="B246" s="362" t="s">
        <v>168</v>
      </c>
      <c r="C246" s="344"/>
      <c r="D246" s="136"/>
      <c r="E246" s="137"/>
    </row>
    <row r="247" spans="1:8" ht="12.75" customHeight="1" x14ac:dyDescent="0.2">
      <c r="A247" s="387" t="s">
        <v>335</v>
      </c>
      <c r="B247" s="402" t="s">
        <v>169</v>
      </c>
      <c r="C247" s="364" t="s">
        <v>170</v>
      </c>
      <c r="D247" s="173">
        <f>SUM(D248:D249)</f>
        <v>311.60000000000002</v>
      </c>
      <c r="E247" s="174">
        <f>SUM(E248:E249)</f>
        <v>292.10000000000002</v>
      </c>
    </row>
    <row r="248" spans="1:8" x14ac:dyDescent="0.2">
      <c r="A248" s="387" t="s">
        <v>336</v>
      </c>
      <c r="B248" s="403" t="s">
        <v>172</v>
      </c>
      <c r="C248" s="364"/>
      <c r="D248" s="136">
        <v>135.1</v>
      </c>
      <c r="E248" s="137">
        <v>118.6</v>
      </c>
      <c r="H248" s="93"/>
    </row>
    <row r="249" spans="1:8" ht="12.75" customHeight="1" x14ac:dyDescent="0.2">
      <c r="A249" s="387" t="s">
        <v>337</v>
      </c>
      <c r="B249" s="404" t="s">
        <v>174</v>
      </c>
      <c r="C249" s="364"/>
      <c r="D249" s="136">
        <v>176.5</v>
      </c>
      <c r="E249" s="137">
        <v>173.5</v>
      </c>
      <c r="H249" s="93"/>
    </row>
    <row r="250" spans="1:8" ht="24" x14ac:dyDescent="0.2">
      <c r="A250" s="387" t="s">
        <v>338</v>
      </c>
      <c r="B250" s="405" t="s">
        <v>179</v>
      </c>
      <c r="C250" s="364" t="s">
        <v>332</v>
      </c>
      <c r="D250" s="173">
        <f>SUM(D251)</f>
        <v>3</v>
      </c>
      <c r="E250" s="174">
        <f>SUM(E251)</f>
        <v>1.6</v>
      </c>
      <c r="H250" s="93"/>
    </row>
    <row r="251" spans="1:8" x14ac:dyDescent="0.2">
      <c r="A251" s="391" t="s">
        <v>339</v>
      </c>
      <c r="B251" s="406" t="s">
        <v>172</v>
      </c>
      <c r="C251" s="384"/>
      <c r="D251" s="161">
        <v>3</v>
      </c>
      <c r="E251" s="181">
        <v>1.6</v>
      </c>
      <c r="H251" s="93"/>
    </row>
    <row r="252" spans="1:8" x14ac:dyDescent="0.2">
      <c r="A252" s="354" t="s">
        <v>133</v>
      </c>
      <c r="B252" s="407" t="s">
        <v>132</v>
      </c>
      <c r="C252" s="408"/>
      <c r="D252" s="171">
        <f>SUM(D254+D258)</f>
        <v>188.60000000000002</v>
      </c>
      <c r="E252" s="172">
        <f>SUM(E254+E258)</f>
        <v>140.19999999999999</v>
      </c>
    </row>
    <row r="253" spans="1:8" x14ac:dyDescent="0.2">
      <c r="A253" s="387"/>
      <c r="B253" s="327" t="s">
        <v>168</v>
      </c>
      <c r="C253" s="344"/>
      <c r="D253" s="136"/>
      <c r="E253" s="137"/>
    </row>
    <row r="254" spans="1:8" x14ac:dyDescent="0.2">
      <c r="A254" s="227" t="s">
        <v>340</v>
      </c>
      <c r="B254" s="363" t="s">
        <v>250</v>
      </c>
      <c r="C254" s="364" t="s">
        <v>104</v>
      </c>
      <c r="D254" s="173">
        <f>SUM(D255:D257)</f>
        <v>184.20000000000002</v>
      </c>
      <c r="E254" s="174">
        <f>SUM(E255:E257)</f>
        <v>138</v>
      </c>
    </row>
    <row r="255" spans="1:8" x14ac:dyDescent="0.2">
      <c r="A255" s="387" t="s">
        <v>341</v>
      </c>
      <c r="B255" s="358" t="s">
        <v>172</v>
      </c>
      <c r="C255" s="344"/>
      <c r="D255" s="136">
        <f>172.9+20-11.1</f>
        <v>181.8</v>
      </c>
      <c r="E255" s="137">
        <f>147.6-11.1</f>
        <v>136.5</v>
      </c>
    </row>
    <row r="256" spans="1:8" x14ac:dyDescent="0.2">
      <c r="A256" s="387" t="s">
        <v>342</v>
      </c>
      <c r="B256" s="358" t="s">
        <v>188</v>
      </c>
      <c r="C256" s="344"/>
      <c r="D256" s="136">
        <v>1.5</v>
      </c>
      <c r="E256" s="137">
        <v>1.5</v>
      </c>
    </row>
    <row r="257" spans="1:5" x14ac:dyDescent="0.2">
      <c r="A257" s="387" t="s">
        <v>343</v>
      </c>
      <c r="B257" s="358" t="s">
        <v>178</v>
      </c>
      <c r="C257" s="344"/>
      <c r="D257" s="136">
        <v>0.9</v>
      </c>
      <c r="E257" s="137"/>
    </row>
    <row r="258" spans="1:5" ht="24" x14ac:dyDescent="0.2">
      <c r="A258" s="387" t="s">
        <v>344</v>
      </c>
      <c r="B258" s="360" t="s">
        <v>179</v>
      </c>
      <c r="C258" s="364" t="s">
        <v>332</v>
      </c>
      <c r="D258" s="173">
        <f>SUM(D259)</f>
        <v>4.4000000000000004</v>
      </c>
      <c r="E258" s="174">
        <f>SUM(E259)</f>
        <v>2.2000000000000002</v>
      </c>
    </row>
    <row r="259" spans="1:5" x14ac:dyDescent="0.2">
      <c r="A259" s="391" t="s">
        <v>345</v>
      </c>
      <c r="B259" s="395" t="s">
        <v>172</v>
      </c>
      <c r="C259" s="384"/>
      <c r="D259" s="161">
        <v>4.4000000000000004</v>
      </c>
      <c r="E259" s="137">
        <v>2.2000000000000002</v>
      </c>
    </row>
    <row r="260" spans="1:5" ht="12.75" customHeight="1" x14ac:dyDescent="0.2">
      <c r="A260" s="409" t="s">
        <v>135</v>
      </c>
      <c r="B260" s="410" t="s">
        <v>134</v>
      </c>
      <c r="C260" s="354"/>
      <c r="D260" s="178">
        <f>SUM(D262+D267)</f>
        <v>326</v>
      </c>
      <c r="E260" s="204">
        <f>SUM(E262+E267)</f>
        <v>102.41199999999999</v>
      </c>
    </row>
    <row r="261" spans="1:5" x14ac:dyDescent="0.2">
      <c r="A261" s="387"/>
      <c r="B261" s="362" t="s">
        <v>168</v>
      </c>
      <c r="C261" s="387"/>
      <c r="D261" s="136"/>
      <c r="E261" s="188"/>
    </row>
    <row r="262" spans="1:5" ht="12.75" customHeight="1" x14ac:dyDescent="0.2">
      <c r="A262" s="227" t="s">
        <v>346</v>
      </c>
      <c r="B262" s="411" t="s">
        <v>347</v>
      </c>
      <c r="C262" s="364" t="s">
        <v>348</v>
      </c>
      <c r="D262" s="173">
        <f>SUM(D263:D266)</f>
        <v>320.5</v>
      </c>
      <c r="E262" s="206">
        <f>SUM(E263:E266)</f>
        <v>99.911999999999992</v>
      </c>
    </row>
    <row r="263" spans="1:5" x14ac:dyDescent="0.2">
      <c r="A263" s="387" t="s">
        <v>349</v>
      </c>
      <c r="B263" s="358" t="s">
        <v>172</v>
      </c>
      <c r="C263" s="364"/>
      <c r="D263" s="136">
        <f>153.3+7.3+22.9+1</f>
        <v>184.50000000000003</v>
      </c>
      <c r="E263" s="188">
        <f>83.6+3.4-0.688</f>
        <v>86.311999999999998</v>
      </c>
    </row>
    <row r="264" spans="1:5" ht="24" x14ac:dyDescent="0.2">
      <c r="A264" s="227" t="s">
        <v>350</v>
      </c>
      <c r="B264" s="239" t="s">
        <v>351</v>
      </c>
      <c r="C264" s="237"/>
      <c r="D264" s="136">
        <v>33</v>
      </c>
      <c r="E264" s="137">
        <v>5.6</v>
      </c>
    </row>
    <row r="265" spans="1:5" x14ac:dyDescent="0.2">
      <c r="A265" s="227" t="s">
        <v>352</v>
      </c>
      <c r="B265" s="239" t="s">
        <v>188</v>
      </c>
      <c r="C265" s="237"/>
      <c r="D265" s="136">
        <v>3</v>
      </c>
      <c r="E265" s="137">
        <v>3</v>
      </c>
    </row>
    <row r="266" spans="1:5" x14ac:dyDescent="0.2">
      <c r="A266" s="227" t="s">
        <v>353</v>
      </c>
      <c r="B266" s="239" t="s">
        <v>178</v>
      </c>
      <c r="C266" s="237"/>
      <c r="D266" s="136">
        <v>100</v>
      </c>
      <c r="E266" s="137">
        <v>5</v>
      </c>
    </row>
    <row r="267" spans="1:5" ht="24" x14ac:dyDescent="0.2">
      <c r="A267" s="227" t="s">
        <v>354</v>
      </c>
      <c r="B267" s="360" t="s">
        <v>179</v>
      </c>
      <c r="C267" s="237" t="s">
        <v>332</v>
      </c>
      <c r="D267" s="173">
        <f>SUM(D268)</f>
        <v>5.5</v>
      </c>
      <c r="E267" s="174">
        <f>SUM(E268)</f>
        <v>2.5</v>
      </c>
    </row>
    <row r="268" spans="1:5" x14ac:dyDescent="0.2">
      <c r="A268" s="387" t="s">
        <v>355</v>
      </c>
      <c r="B268" s="358" t="s">
        <v>172</v>
      </c>
      <c r="C268" s="412"/>
      <c r="D268" s="136">
        <v>5.5</v>
      </c>
      <c r="E268" s="137">
        <v>2.5</v>
      </c>
    </row>
    <row r="269" spans="1:5" ht="24" customHeight="1" x14ac:dyDescent="0.2">
      <c r="A269" s="393" t="s">
        <v>136</v>
      </c>
      <c r="B269" s="413" t="s">
        <v>356</v>
      </c>
      <c r="C269" s="354"/>
      <c r="D269" s="171">
        <f>SUM(D271+D278)</f>
        <v>1337</v>
      </c>
      <c r="E269" s="185">
        <f>SUM(E271+E278)</f>
        <v>849.5</v>
      </c>
    </row>
    <row r="270" spans="1:5" x14ac:dyDescent="0.2">
      <c r="A270" s="387"/>
      <c r="B270" s="327" t="s">
        <v>168</v>
      </c>
      <c r="C270" s="387"/>
      <c r="D270" s="136"/>
      <c r="E270" s="137"/>
    </row>
    <row r="271" spans="1:5" x14ac:dyDescent="0.2">
      <c r="A271" s="387" t="s">
        <v>357</v>
      </c>
      <c r="B271" s="414" t="s">
        <v>328</v>
      </c>
      <c r="C271" s="364" t="s">
        <v>358</v>
      </c>
      <c r="D271" s="173">
        <f>SUM(D272:D277)</f>
        <v>1327</v>
      </c>
      <c r="E271" s="174">
        <f>SUM(E272:E277)</f>
        <v>845.9</v>
      </c>
    </row>
    <row r="272" spans="1:5" x14ac:dyDescent="0.2">
      <c r="A272" s="387" t="s">
        <v>359</v>
      </c>
      <c r="B272" s="403" t="s">
        <v>172</v>
      </c>
      <c r="C272" s="364"/>
      <c r="D272" s="136">
        <f>112.2+178.5+37.4+1.1+3</f>
        <v>332.2</v>
      </c>
      <c r="E272" s="137">
        <f>83.1+165.2+1+0.3</f>
        <v>249.6</v>
      </c>
    </row>
    <row r="273" spans="1:5" x14ac:dyDescent="0.2">
      <c r="A273" s="387" t="s">
        <v>360</v>
      </c>
      <c r="B273" s="403" t="s">
        <v>361</v>
      </c>
      <c r="C273" s="364"/>
      <c r="D273" s="136">
        <f>667.5+18</f>
        <v>685.5</v>
      </c>
      <c r="E273" s="137">
        <v>551</v>
      </c>
    </row>
    <row r="274" spans="1:5" x14ac:dyDescent="0.2">
      <c r="A274" s="387" t="s">
        <v>362</v>
      </c>
      <c r="B274" s="403" t="s">
        <v>188</v>
      </c>
      <c r="C274" s="364"/>
      <c r="D274" s="136">
        <v>1</v>
      </c>
      <c r="E274" s="137">
        <v>1</v>
      </c>
    </row>
    <row r="275" spans="1:5" x14ac:dyDescent="0.2">
      <c r="A275" s="387" t="s">
        <v>363</v>
      </c>
      <c r="B275" s="403" t="s">
        <v>178</v>
      </c>
      <c r="C275" s="364"/>
      <c r="D275" s="136">
        <v>2</v>
      </c>
      <c r="E275" s="137">
        <v>0.5</v>
      </c>
    </row>
    <row r="276" spans="1:5" ht="36" customHeight="1" x14ac:dyDescent="0.2">
      <c r="A276" s="227" t="s">
        <v>364</v>
      </c>
      <c r="B276" s="404" t="s">
        <v>365</v>
      </c>
      <c r="C276" s="364"/>
      <c r="D276" s="136">
        <f>213.1+17.2+64</f>
        <v>294.29999999999995</v>
      </c>
      <c r="E276" s="137">
        <f>2.4+16.4+25</f>
        <v>43.8</v>
      </c>
    </row>
    <row r="277" spans="1:5" ht="12.75" customHeight="1" x14ac:dyDescent="0.2">
      <c r="A277" s="227" t="s">
        <v>366</v>
      </c>
      <c r="B277" s="415" t="s">
        <v>367</v>
      </c>
      <c r="C277" s="364"/>
      <c r="D277" s="136">
        <v>12</v>
      </c>
      <c r="E277" s="137"/>
    </row>
    <row r="278" spans="1:5" ht="24.75" customHeight="1" x14ac:dyDescent="0.2">
      <c r="A278" s="227" t="s">
        <v>368</v>
      </c>
      <c r="B278" s="416" t="s">
        <v>179</v>
      </c>
      <c r="C278" s="364" t="s">
        <v>332</v>
      </c>
      <c r="D278" s="173">
        <f>SUM(D279)</f>
        <v>10</v>
      </c>
      <c r="E278" s="174">
        <f>SUM(E279)</f>
        <v>3.6</v>
      </c>
    </row>
    <row r="279" spans="1:5" ht="12.75" customHeight="1" x14ac:dyDescent="0.2">
      <c r="A279" s="417" t="s">
        <v>369</v>
      </c>
      <c r="B279" s="418" t="s">
        <v>172</v>
      </c>
      <c r="C279" s="373"/>
      <c r="D279" s="136">
        <v>10</v>
      </c>
      <c r="E279" s="137">
        <v>3.6</v>
      </c>
    </row>
    <row r="280" spans="1:5" x14ac:dyDescent="0.2">
      <c r="A280" s="353" t="s">
        <v>137</v>
      </c>
      <c r="B280" s="354" t="s">
        <v>370</v>
      </c>
      <c r="C280" s="354"/>
      <c r="D280" s="196">
        <f>SUM(D282+D288)</f>
        <v>1243.3500000000004</v>
      </c>
      <c r="E280" s="197">
        <f>SUM(E282+E288)</f>
        <v>972.35</v>
      </c>
    </row>
    <row r="281" spans="1:5" x14ac:dyDescent="0.2">
      <c r="A281" s="356"/>
      <c r="B281" s="344" t="s">
        <v>168</v>
      </c>
      <c r="C281" s="387"/>
      <c r="D281" s="138"/>
      <c r="E281" s="137"/>
    </row>
    <row r="282" spans="1:5" x14ac:dyDescent="0.2">
      <c r="A282" s="359" t="s">
        <v>371</v>
      </c>
      <c r="B282" s="363" t="s">
        <v>250</v>
      </c>
      <c r="C282" s="364" t="s">
        <v>104</v>
      </c>
      <c r="D282" s="198">
        <f>SUM(D283:D287)</f>
        <v>1231.4500000000003</v>
      </c>
      <c r="E282" s="199">
        <f>SUM(E283:E287)</f>
        <v>968.85</v>
      </c>
    </row>
    <row r="283" spans="1:5" x14ac:dyDescent="0.2">
      <c r="A283" s="356" t="s">
        <v>372</v>
      </c>
      <c r="B283" s="358" t="s">
        <v>172</v>
      </c>
      <c r="C283" s="364"/>
      <c r="D283" s="200">
        <f>1149.9+2</f>
        <v>1151.9000000000001</v>
      </c>
      <c r="E283" s="156">
        <f>684.8+199.2+105.5-85.8</f>
        <v>903.7</v>
      </c>
    </row>
    <row r="284" spans="1:5" x14ac:dyDescent="0.2">
      <c r="A284" s="356" t="s">
        <v>373</v>
      </c>
      <c r="B284" s="358" t="s">
        <v>188</v>
      </c>
      <c r="C284" s="364"/>
      <c r="D284" s="138">
        <f>4.5+1.5+1</f>
        <v>7</v>
      </c>
      <c r="E284" s="137">
        <f>4.5+1.5+1</f>
        <v>7</v>
      </c>
    </row>
    <row r="285" spans="1:5" x14ac:dyDescent="0.2">
      <c r="A285" s="387" t="s">
        <v>374</v>
      </c>
      <c r="B285" s="358" t="s">
        <v>178</v>
      </c>
      <c r="C285" s="387"/>
      <c r="D285" s="138">
        <f>21.1+6.3</f>
        <v>27.400000000000002</v>
      </c>
      <c r="E285" s="137">
        <v>13.9</v>
      </c>
    </row>
    <row r="286" spans="1:5" ht="36" x14ac:dyDescent="0.2">
      <c r="A286" s="153" t="s">
        <v>811</v>
      </c>
      <c r="B286" s="151" t="s">
        <v>810</v>
      </c>
      <c r="C286" s="387"/>
      <c r="D286" s="200">
        <v>37.450000000000003</v>
      </c>
      <c r="E286" s="156">
        <v>36.85</v>
      </c>
    </row>
    <row r="287" spans="1:5" ht="24" x14ac:dyDescent="0.2">
      <c r="A287" s="153" t="s">
        <v>812</v>
      </c>
      <c r="B287" s="151" t="s">
        <v>637</v>
      </c>
      <c r="C287" s="387"/>
      <c r="D287" s="138">
        <v>7.7</v>
      </c>
      <c r="E287" s="137">
        <v>7.4</v>
      </c>
    </row>
    <row r="288" spans="1:5" ht="24" x14ac:dyDescent="0.2">
      <c r="A288" s="359" t="s">
        <v>375</v>
      </c>
      <c r="B288" s="360" t="s">
        <v>179</v>
      </c>
      <c r="C288" s="364" t="s">
        <v>332</v>
      </c>
      <c r="D288" s="175">
        <f>SUM(D289)</f>
        <v>11.9</v>
      </c>
      <c r="E288" s="174">
        <f>SUM(E289)</f>
        <v>3.5</v>
      </c>
    </row>
    <row r="289" spans="1:5" x14ac:dyDescent="0.2">
      <c r="A289" s="419" t="s">
        <v>376</v>
      </c>
      <c r="B289" s="406" t="s">
        <v>172</v>
      </c>
      <c r="C289" s="391"/>
      <c r="D289" s="201">
        <v>11.9</v>
      </c>
      <c r="E289" s="137">
        <v>3.5</v>
      </c>
    </row>
    <row r="290" spans="1:5" x14ac:dyDescent="0.2">
      <c r="A290" s="353" t="s">
        <v>138</v>
      </c>
      <c r="B290" s="354" t="s">
        <v>377</v>
      </c>
      <c r="C290" s="355"/>
      <c r="D290" s="190">
        <f>SUM(D292+D298)</f>
        <v>1319.64</v>
      </c>
      <c r="E290" s="197">
        <f>SUM(E292+E298)</f>
        <v>1229.4399999999998</v>
      </c>
    </row>
    <row r="291" spans="1:5" x14ac:dyDescent="0.2">
      <c r="A291" s="356"/>
      <c r="B291" s="344" t="s">
        <v>168</v>
      </c>
      <c r="C291" s="375"/>
      <c r="D291" s="136"/>
      <c r="E291" s="137"/>
    </row>
    <row r="292" spans="1:5" x14ac:dyDescent="0.2">
      <c r="A292" s="359" t="s">
        <v>378</v>
      </c>
      <c r="B292" s="381" t="s">
        <v>250</v>
      </c>
      <c r="C292" s="155" t="s">
        <v>104</v>
      </c>
      <c r="D292" s="202">
        <f>SUM(D293:D297)</f>
        <v>1306.8400000000001</v>
      </c>
      <c r="E292" s="199">
        <f>SUM(E293:E297)</f>
        <v>1222.8399999999999</v>
      </c>
    </row>
    <row r="293" spans="1:5" x14ac:dyDescent="0.2">
      <c r="A293" s="356" t="s">
        <v>379</v>
      </c>
      <c r="B293" s="358" t="s">
        <v>172</v>
      </c>
      <c r="C293" s="155"/>
      <c r="D293" s="136">
        <f>766.1+6-61.4</f>
        <v>710.7</v>
      </c>
      <c r="E293" s="137">
        <f>708-61.4</f>
        <v>646.6</v>
      </c>
    </row>
    <row r="294" spans="1:5" x14ac:dyDescent="0.2">
      <c r="A294" s="356" t="s">
        <v>380</v>
      </c>
      <c r="B294" s="358" t="s">
        <v>361</v>
      </c>
      <c r="C294" s="364"/>
      <c r="D294" s="136">
        <v>463.7</v>
      </c>
      <c r="E294" s="137">
        <v>454.1</v>
      </c>
    </row>
    <row r="295" spans="1:5" x14ac:dyDescent="0.2">
      <c r="A295" s="356" t="s">
        <v>381</v>
      </c>
      <c r="B295" s="358" t="s">
        <v>188</v>
      </c>
      <c r="C295" s="364"/>
      <c r="D295" s="136">
        <v>3</v>
      </c>
      <c r="E295" s="137">
        <v>3</v>
      </c>
    </row>
    <row r="296" spans="1:5" x14ac:dyDescent="0.2">
      <c r="A296" s="356" t="s">
        <v>382</v>
      </c>
      <c r="B296" s="358" t="s">
        <v>178</v>
      </c>
      <c r="C296" s="387"/>
      <c r="D296" s="136">
        <v>75.3</v>
      </c>
      <c r="E296" s="137">
        <v>65.8</v>
      </c>
    </row>
    <row r="297" spans="1:5" ht="36" x14ac:dyDescent="0.2">
      <c r="A297" s="224" t="s">
        <v>813</v>
      </c>
      <c r="B297" s="151" t="s">
        <v>810</v>
      </c>
      <c r="C297" s="420"/>
      <c r="D297" s="191">
        <v>54.14</v>
      </c>
      <c r="E297" s="156">
        <v>53.34</v>
      </c>
    </row>
    <row r="298" spans="1:5" ht="24" x14ac:dyDescent="0.2">
      <c r="A298" s="359" t="s">
        <v>383</v>
      </c>
      <c r="B298" s="360" t="s">
        <v>179</v>
      </c>
      <c r="C298" s="155" t="s">
        <v>332</v>
      </c>
      <c r="D298" s="173">
        <f>SUM(D299)</f>
        <v>12.8</v>
      </c>
      <c r="E298" s="174">
        <f>SUM(E299)</f>
        <v>6.6</v>
      </c>
    </row>
    <row r="299" spans="1:5" x14ac:dyDescent="0.2">
      <c r="A299" s="419" t="s">
        <v>384</v>
      </c>
      <c r="B299" s="406" t="s">
        <v>172</v>
      </c>
      <c r="C299" s="396"/>
      <c r="D299" s="161">
        <v>12.8</v>
      </c>
      <c r="E299" s="137">
        <v>6.6</v>
      </c>
    </row>
    <row r="300" spans="1:5" x14ac:dyDescent="0.2">
      <c r="A300" s="353" t="s">
        <v>139</v>
      </c>
      <c r="B300" s="354" t="s">
        <v>385</v>
      </c>
      <c r="C300" s="355"/>
      <c r="D300" s="203">
        <f>SUM(D302+D309)</f>
        <v>846.76499999999999</v>
      </c>
      <c r="E300" s="204">
        <f>SUM(E302+E309)</f>
        <v>707.54399999999998</v>
      </c>
    </row>
    <row r="301" spans="1:5" x14ac:dyDescent="0.2">
      <c r="A301" s="356"/>
      <c r="B301" s="344" t="s">
        <v>168</v>
      </c>
      <c r="C301" s="375"/>
      <c r="D301" s="136"/>
      <c r="E301" s="137"/>
    </row>
    <row r="302" spans="1:5" x14ac:dyDescent="0.2">
      <c r="A302" s="359" t="s">
        <v>386</v>
      </c>
      <c r="B302" s="381" t="s">
        <v>250</v>
      </c>
      <c r="C302" s="155" t="s">
        <v>104</v>
      </c>
      <c r="D302" s="205">
        <f>SUM(D303:D308)</f>
        <v>838.16499999999996</v>
      </c>
      <c r="E302" s="206">
        <f>SUM(E303:E308)</f>
        <v>703.84399999999994</v>
      </c>
    </row>
    <row r="303" spans="1:5" x14ac:dyDescent="0.2">
      <c r="A303" s="356" t="s">
        <v>387</v>
      </c>
      <c r="B303" s="358" t="s">
        <v>172</v>
      </c>
      <c r="C303" s="155"/>
      <c r="D303" s="136">
        <v>752.5</v>
      </c>
      <c r="E303" s="137">
        <f>695.1-63</f>
        <v>632.1</v>
      </c>
    </row>
    <row r="304" spans="1:5" x14ac:dyDescent="0.2">
      <c r="A304" s="356" t="s">
        <v>388</v>
      </c>
      <c r="B304" s="358" t="s">
        <v>188</v>
      </c>
      <c r="C304" s="155"/>
      <c r="D304" s="136">
        <v>3</v>
      </c>
      <c r="E304" s="137">
        <v>3</v>
      </c>
    </row>
    <row r="305" spans="1:6" x14ac:dyDescent="0.2">
      <c r="A305" s="356" t="s">
        <v>389</v>
      </c>
      <c r="B305" s="358" t="s">
        <v>178</v>
      </c>
      <c r="C305" s="375"/>
      <c r="D305" s="136">
        <v>30</v>
      </c>
      <c r="E305" s="137">
        <v>17.100000000000001</v>
      </c>
    </row>
    <row r="306" spans="1:6" ht="36" x14ac:dyDescent="0.2">
      <c r="A306" s="224" t="s">
        <v>814</v>
      </c>
      <c r="B306" s="151" t="s">
        <v>810</v>
      </c>
      <c r="C306" s="375"/>
      <c r="D306" s="191">
        <v>30.17</v>
      </c>
      <c r="E306" s="156">
        <v>29.67</v>
      </c>
    </row>
    <row r="307" spans="1:6" ht="24" x14ac:dyDescent="0.2">
      <c r="A307" s="224" t="s">
        <v>815</v>
      </c>
      <c r="B307" s="151" t="s">
        <v>637</v>
      </c>
      <c r="C307" s="375"/>
      <c r="D307" s="136">
        <v>7.7</v>
      </c>
      <c r="E307" s="137">
        <v>7.4</v>
      </c>
    </row>
    <row r="308" spans="1:6" ht="24" x14ac:dyDescent="0.2">
      <c r="A308" s="224" t="s">
        <v>816</v>
      </c>
      <c r="B308" s="151" t="s">
        <v>817</v>
      </c>
      <c r="C308" s="375"/>
      <c r="D308" s="207">
        <f>14.774+0.021</f>
        <v>14.795</v>
      </c>
      <c r="E308" s="188">
        <v>14.574</v>
      </c>
    </row>
    <row r="309" spans="1:6" ht="21.75" customHeight="1" x14ac:dyDescent="0.2">
      <c r="A309" s="227" t="s">
        <v>390</v>
      </c>
      <c r="B309" s="421" t="s">
        <v>179</v>
      </c>
      <c r="C309" s="364" t="s">
        <v>332</v>
      </c>
      <c r="D309" s="173">
        <f>SUM(D310)</f>
        <v>8.6</v>
      </c>
      <c r="E309" s="174">
        <f>SUM(E310)</f>
        <v>3.7</v>
      </c>
    </row>
    <row r="310" spans="1:6" ht="12.75" customHeight="1" x14ac:dyDescent="0.2">
      <c r="A310" s="419" t="s">
        <v>391</v>
      </c>
      <c r="B310" s="406" t="s">
        <v>172</v>
      </c>
      <c r="C310" s="396"/>
      <c r="D310" s="161">
        <v>8.6</v>
      </c>
      <c r="E310" s="137">
        <v>3.7</v>
      </c>
    </row>
    <row r="311" spans="1:6" x14ac:dyDescent="0.2">
      <c r="A311" s="343" t="s">
        <v>141</v>
      </c>
      <c r="B311" s="422" t="s">
        <v>140</v>
      </c>
      <c r="C311" s="423"/>
      <c r="D311" s="178">
        <f>SUM(D313)</f>
        <v>1372.7</v>
      </c>
      <c r="E311" s="185">
        <f>SUM(E313)</f>
        <v>1103.7</v>
      </c>
    </row>
    <row r="312" spans="1:6" x14ac:dyDescent="0.2">
      <c r="A312" s="387"/>
      <c r="B312" s="362" t="s">
        <v>168</v>
      </c>
      <c r="C312" s="364"/>
      <c r="D312" s="136"/>
      <c r="E312" s="137"/>
    </row>
    <row r="313" spans="1:6" x14ac:dyDescent="0.2">
      <c r="A313" s="227" t="s">
        <v>392</v>
      </c>
      <c r="B313" s="363" t="s">
        <v>250</v>
      </c>
      <c r="C313" s="364" t="s">
        <v>104</v>
      </c>
      <c r="D313" s="173">
        <f>SUM(D314:D315)</f>
        <v>1372.7</v>
      </c>
      <c r="E313" s="174">
        <f>SUM(E314:E315)</f>
        <v>1103.7</v>
      </c>
    </row>
    <row r="314" spans="1:6" x14ac:dyDescent="0.2">
      <c r="A314" s="227" t="s">
        <v>393</v>
      </c>
      <c r="B314" s="170" t="s">
        <v>394</v>
      </c>
      <c r="C314" s="364"/>
      <c r="D314" s="136">
        <v>294.7</v>
      </c>
      <c r="E314" s="137">
        <v>271.2</v>
      </c>
      <c r="F314" s="21"/>
    </row>
    <row r="315" spans="1:6" x14ac:dyDescent="0.2">
      <c r="A315" s="391" t="s">
        <v>395</v>
      </c>
      <c r="B315" s="424" t="s">
        <v>178</v>
      </c>
      <c r="C315" s="373"/>
      <c r="D315" s="161">
        <v>1078</v>
      </c>
      <c r="E315" s="181">
        <v>832.5</v>
      </c>
    </row>
    <row r="316" spans="1:6" s="92" customFormat="1" x14ac:dyDescent="0.2">
      <c r="A316" s="370" t="s">
        <v>143</v>
      </c>
      <c r="B316" s="343" t="s">
        <v>142</v>
      </c>
      <c r="C316" s="374"/>
      <c r="D316" s="209">
        <f>SUM(D318+D323)</f>
        <v>1340.848</v>
      </c>
      <c r="E316" s="179">
        <f>SUM(E318+E323)</f>
        <v>1058.5</v>
      </c>
    </row>
    <row r="317" spans="1:6" x14ac:dyDescent="0.2">
      <c r="A317" s="356"/>
      <c r="B317" s="344" t="s">
        <v>168</v>
      </c>
      <c r="C317" s="375"/>
      <c r="D317" s="207"/>
      <c r="E317" s="137"/>
    </row>
    <row r="318" spans="1:6" ht="24" x14ac:dyDescent="0.2">
      <c r="A318" s="359" t="s">
        <v>397</v>
      </c>
      <c r="B318" s="399" t="s">
        <v>398</v>
      </c>
      <c r="C318" s="155" t="s">
        <v>399</v>
      </c>
      <c r="D318" s="205">
        <f>SUM(D319:D322)</f>
        <v>1335.248</v>
      </c>
      <c r="E318" s="174">
        <f>SUM(E319:E322)</f>
        <v>1055.8</v>
      </c>
    </row>
    <row r="319" spans="1:6" ht="12.75" customHeight="1" x14ac:dyDescent="0.2">
      <c r="A319" s="356" t="s">
        <v>400</v>
      </c>
      <c r="B319" s="358" t="s">
        <v>172</v>
      </c>
      <c r="C319" s="155"/>
      <c r="D319" s="136">
        <f>1161.4+74.9+4.3+2</f>
        <v>1242.6000000000001</v>
      </c>
      <c r="E319" s="137">
        <v>1043.8</v>
      </c>
    </row>
    <row r="320" spans="1:6" ht="12.75" customHeight="1" x14ac:dyDescent="0.2">
      <c r="A320" s="356" t="s">
        <v>401</v>
      </c>
      <c r="B320" s="239" t="s">
        <v>188</v>
      </c>
      <c r="C320" s="155"/>
      <c r="D320" s="136">
        <v>12</v>
      </c>
      <c r="E320" s="137">
        <v>12</v>
      </c>
    </row>
    <row r="321" spans="1:5" ht="24.6" customHeight="1" x14ac:dyDescent="0.2">
      <c r="A321" s="356" t="s">
        <v>402</v>
      </c>
      <c r="B321" s="151" t="s">
        <v>764</v>
      </c>
      <c r="C321" s="155"/>
      <c r="D321" s="207">
        <f>77.7-0.052</f>
        <v>77.647999999999996</v>
      </c>
      <c r="E321" s="137"/>
    </row>
    <row r="322" spans="1:5" ht="12.75" customHeight="1" x14ac:dyDescent="0.2">
      <c r="A322" s="356" t="s">
        <v>403</v>
      </c>
      <c r="B322" s="239" t="s">
        <v>178</v>
      </c>
      <c r="C322" s="155"/>
      <c r="D322" s="136">
        <v>3</v>
      </c>
      <c r="E322" s="137"/>
    </row>
    <row r="323" spans="1:5" ht="24.6" customHeight="1" x14ac:dyDescent="0.2">
      <c r="A323" s="356" t="s">
        <v>404</v>
      </c>
      <c r="B323" s="360" t="s">
        <v>179</v>
      </c>
      <c r="C323" s="155"/>
      <c r="D323" s="173">
        <f>SUM(D324+D325)</f>
        <v>5.6000000000000005</v>
      </c>
      <c r="E323" s="174">
        <f>SUM(E324)</f>
        <v>2.7</v>
      </c>
    </row>
    <row r="324" spans="1:5" x14ac:dyDescent="0.2">
      <c r="A324" s="224" t="s">
        <v>405</v>
      </c>
      <c r="B324" s="358" t="s">
        <v>172</v>
      </c>
      <c r="C324" s="155" t="s">
        <v>332</v>
      </c>
      <c r="D324" s="136">
        <v>5.2</v>
      </c>
      <c r="E324" s="137">
        <v>2.7</v>
      </c>
    </row>
    <row r="325" spans="1:5" x14ac:dyDescent="0.2">
      <c r="A325" s="224" t="s">
        <v>818</v>
      </c>
      <c r="B325" s="425" t="s">
        <v>396</v>
      </c>
      <c r="C325" s="155" t="s">
        <v>399</v>
      </c>
      <c r="D325" s="136">
        <v>0.4</v>
      </c>
      <c r="E325" s="137"/>
    </row>
    <row r="326" spans="1:5" s="92" customFormat="1" x14ac:dyDescent="0.2">
      <c r="A326" s="353" t="s">
        <v>145</v>
      </c>
      <c r="B326" s="354" t="s">
        <v>144</v>
      </c>
      <c r="C326" s="355"/>
      <c r="D326" s="171">
        <f>SUM(D328+D333)</f>
        <v>788.4</v>
      </c>
      <c r="E326" s="172">
        <f>SUM(E328+E333)</f>
        <v>260</v>
      </c>
    </row>
    <row r="327" spans="1:5" x14ac:dyDescent="0.2">
      <c r="A327" s="356"/>
      <c r="B327" s="344" t="s">
        <v>168</v>
      </c>
      <c r="C327" s="375"/>
      <c r="D327" s="136"/>
      <c r="E327" s="137"/>
    </row>
    <row r="328" spans="1:5" ht="24" x14ac:dyDescent="0.2">
      <c r="A328" s="359" t="s">
        <v>406</v>
      </c>
      <c r="B328" s="399" t="s">
        <v>398</v>
      </c>
      <c r="C328" s="155" t="s">
        <v>399</v>
      </c>
      <c r="D328" s="173">
        <f>SUM(D329:D332)</f>
        <v>783</v>
      </c>
      <c r="E328" s="174">
        <f>SUM(E329:E332)</f>
        <v>257.89999999999998</v>
      </c>
    </row>
    <row r="329" spans="1:5" x14ac:dyDescent="0.2">
      <c r="A329" s="356" t="s">
        <v>407</v>
      </c>
      <c r="B329" s="358" t="s">
        <v>172</v>
      </c>
      <c r="C329" s="155"/>
      <c r="D329" s="136">
        <f>255.3+2+231.3+0.4+1.2</f>
        <v>490.2</v>
      </c>
      <c r="E329" s="137">
        <f>225.4+10.2</f>
        <v>235.6</v>
      </c>
    </row>
    <row r="330" spans="1:5" x14ac:dyDescent="0.2">
      <c r="A330" s="356" t="s">
        <v>408</v>
      </c>
      <c r="B330" s="239" t="s">
        <v>188</v>
      </c>
      <c r="C330" s="155"/>
      <c r="D330" s="136">
        <v>7</v>
      </c>
      <c r="E330" s="137">
        <v>7</v>
      </c>
    </row>
    <row r="331" spans="1:5" x14ac:dyDescent="0.2">
      <c r="A331" s="356" t="s">
        <v>409</v>
      </c>
      <c r="B331" s="371" t="s">
        <v>178</v>
      </c>
      <c r="C331" s="344"/>
      <c r="D331" s="136">
        <v>20</v>
      </c>
      <c r="E331" s="137">
        <v>2.4</v>
      </c>
    </row>
    <row r="332" spans="1:5" ht="35.25" customHeight="1" x14ac:dyDescent="0.2">
      <c r="A332" s="356" t="s">
        <v>410</v>
      </c>
      <c r="B332" s="170" t="s">
        <v>411</v>
      </c>
      <c r="C332" s="348"/>
      <c r="D332" s="136">
        <v>265.8</v>
      </c>
      <c r="E332" s="137">
        <v>12.9</v>
      </c>
    </row>
    <row r="333" spans="1:5" ht="24" x14ac:dyDescent="0.2">
      <c r="A333" s="356" t="s">
        <v>412</v>
      </c>
      <c r="B333" s="426" t="s">
        <v>179</v>
      </c>
      <c r="C333" s="352" t="s">
        <v>332</v>
      </c>
      <c r="D333" s="173">
        <f>SUM(D334)</f>
        <v>5.4</v>
      </c>
      <c r="E333" s="174">
        <f>SUM(E334)</f>
        <v>2.1</v>
      </c>
    </row>
    <row r="334" spans="1:5" ht="12.75" customHeight="1" x14ac:dyDescent="0.2">
      <c r="A334" s="419" t="s">
        <v>413</v>
      </c>
      <c r="B334" s="406" t="s">
        <v>172</v>
      </c>
      <c r="C334" s="327"/>
      <c r="D334" s="136">
        <v>5.4</v>
      </c>
      <c r="E334" s="137">
        <v>2.1</v>
      </c>
    </row>
    <row r="335" spans="1:5" x14ac:dyDescent="0.2">
      <c r="A335" s="376" t="s">
        <v>147</v>
      </c>
      <c r="B335" s="354" t="s">
        <v>146</v>
      </c>
      <c r="C335" s="324"/>
      <c r="D335" s="171">
        <f>SUM(D337+D341)</f>
        <v>972.50000000000011</v>
      </c>
      <c r="E335" s="172">
        <f>SUM(E337+E341)</f>
        <v>688.7</v>
      </c>
    </row>
    <row r="336" spans="1:5" x14ac:dyDescent="0.2">
      <c r="A336" s="356"/>
      <c r="B336" s="344" t="s">
        <v>168</v>
      </c>
      <c r="C336" s="344"/>
      <c r="D336" s="138"/>
      <c r="E336" s="137"/>
    </row>
    <row r="337" spans="1:5" ht="24" x14ac:dyDescent="0.2">
      <c r="A337" s="380" t="s">
        <v>414</v>
      </c>
      <c r="B337" s="399" t="s">
        <v>398</v>
      </c>
      <c r="C337" s="155" t="s">
        <v>399</v>
      </c>
      <c r="D337" s="173">
        <f>SUM(D338:D340)</f>
        <v>957.00000000000011</v>
      </c>
      <c r="E337" s="174">
        <f>SUM(E338:E340)</f>
        <v>683.1</v>
      </c>
    </row>
    <row r="338" spans="1:5" x14ac:dyDescent="0.2">
      <c r="A338" s="379" t="s">
        <v>415</v>
      </c>
      <c r="B338" s="358" t="s">
        <v>172</v>
      </c>
      <c r="C338" s="155"/>
      <c r="D338" s="136">
        <f>656.7+5+1.2</f>
        <v>662.90000000000009</v>
      </c>
      <c r="E338" s="137">
        <v>551.1</v>
      </c>
    </row>
    <row r="339" spans="1:5" x14ac:dyDescent="0.2">
      <c r="A339" s="427" t="s">
        <v>416</v>
      </c>
      <c r="B339" s="428" t="s">
        <v>188</v>
      </c>
      <c r="C339" s="155"/>
      <c r="D339" s="136">
        <v>3</v>
      </c>
      <c r="E339" s="137">
        <v>3</v>
      </c>
    </row>
    <row r="340" spans="1:5" x14ac:dyDescent="0.2">
      <c r="A340" s="427" t="s">
        <v>417</v>
      </c>
      <c r="B340" s="428" t="s">
        <v>178</v>
      </c>
      <c r="C340" s="155"/>
      <c r="D340" s="136">
        <f>10+281.1</f>
        <v>291.10000000000002</v>
      </c>
      <c r="E340" s="137">
        <v>129</v>
      </c>
    </row>
    <row r="341" spans="1:5" ht="22.5" customHeight="1" x14ac:dyDescent="0.2">
      <c r="A341" s="427" t="s">
        <v>418</v>
      </c>
      <c r="B341" s="429" t="s">
        <v>179</v>
      </c>
      <c r="C341" s="155" t="s">
        <v>332</v>
      </c>
      <c r="D341" s="173">
        <f>SUM(D342)</f>
        <v>15.5</v>
      </c>
      <c r="E341" s="174">
        <f>SUM(E342)</f>
        <v>5.6</v>
      </c>
    </row>
    <row r="342" spans="1:5" x14ac:dyDescent="0.2">
      <c r="A342" s="427" t="s">
        <v>419</v>
      </c>
      <c r="B342" s="346" t="s">
        <v>172</v>
      </c>
      <c r="C342" s="327"/>
      <c r="D342" s="136">
        <v>15.5</v>
      </c>
      <c r="E342" s="137">
        <v>5.6</v>
      </c>
    </row>
    <row r="343" spans="1:5" x14ac:dyDescent="0.2">
      <c r="A343" s="376" t="s">
        <v>149</v>
      </c>
      <c r="B343" s="354" t="s">
        <v>148</v>
      </c>
      <c r="C343" s="430"/>
      <c r="D343" s="171">
        <f>SUM(D345+D349)</f>
        <v>248.89999999999998</v>
      </c>
      <c r="E343" s="172">
        <f>SUM(E345+E349)</f>
        <v>191.2</v>
      </c>
    </row>
    <row r="344" spans="1:5" x14ac:dyDescent="0.2">
      <c r="A344" s="356"/>
      <c r="B344" s="344" t="s">
        <v>168</v>
      </c>
      <c r="C344" s="375"/>
      <c r="D344" s="136"/>
      <c r="E344" s="137"/>
    </row>
    <row r="345" spans="1:5" ht="24" x14ac:dyDescent="0.2">
      <c r="A345" s="380" t="s">
        <v>420</v>
      </c>
      <c r="B345" s="399" t="s">
        <v>398</v>
      </c>
      <c r="C345" s="155" t="s">
        <v>399</v>
      </c>
      <c r="D345" s="173">
        <f>SUM(D346:D348)</f>
        <v>242.7</v>
      </c>
      <c r="E345" s="174">
        <f>SUM(E346:E348)</f>
        <v>188</v>
      </c>
    </row>
    <row r="346" spans="1:5" x14ac:dyDescent="0.2">
      <c r="A346" s="379" t="s">
        <v>421</v>
      </c>
      <c r="B346" s="358" t="s">
        <v>172</v>
      </c>
      <c r="C346" s="155"/>
      <c r="D346" s="136">
        <f>232.7+5+1.5</f>
        <v>239.2</v>
      </c>
      <c r="E346" s="137">
        <v>186.5</v>
      </c>
    </row>
    <row r="347" spans="1:5" x14ac:dyDescent="0.2">
      <c r="A347" s="379" t="s">
        <v>422</v>
      </c>
      <c r="B347" s="239" t="s">
        <v>188</v>
      </c>
      <c r="C347" s="155"/>
      <c r="D347" s="136">
        <v>1.5</v>
      </c>
      <c r="E347" s="137">
        <v>1.5</v>
      </c>
    </row>
    <row r="348" spans="1:5" x14ac:dyDescent="0.2">
      <c r="A348" s="379" t="s">
        <v>423</v>
      </c>
      <c r="B348" s="239" t="s">
        <v>178</v>
      </c>
      <c r="C348" s="155"/>
      <c r="D348" s="136">
        <v>2</v>
      </c>
      <c r="E348" s="137"/>
    </row>
    <row r="349" spans="1:5" ht="24" x14ac:dyDescent="0.2">
      <c r="A349" s="379" t="s">
        <v>424</v>
      </c>
      <c r="B349" s="360" t="s">
        <v>179</v>
      </c>
      <c r="C349" s="155"/>
      <c r="D349" s="173">
        <f>SUM(D350)</f>
        <v>6.2</v>
      </c>
      <c r="E349" s="174">
        <f>SUM(E350)</f>
        <v>3.2</v>
      </c>
    </row>
    <row r="350" spans="1:5" x14ac:dyDescent="0.2">
      <c r="A350" s="379" t="s">
        <v>425</v>
      </c>
      <c r="B350" s="395" t="s">
        <v>172</v>
      </c>
      <c r="C350" s="155"/>
      <c r="D350" s="161">
        <v>6.2</v>
      </c>
      <c r="E350" s="181">
        <v>3.2</v>
      </c>
    </row>
    <row r="351" spans="1:5" x14ac:dyDescent="0.2">
      <c r="A351" s="353" t="s">
        <v>151</v>
      </c>
      <c r="B351" s="354" t="s">
        <v>150</v>
      </c>
      <c r="C351" s="431"/>
      <c r="D351" s="186">
        <f>SUM(D353+D357)</f>
        <v>258.95</v>
      </c>
      <c r="E351" s="172">
        <f>SUM(E353+E357)</f>
        <v>200.6</v>
      </c>
    </row>
    <row r="352" spans="1:5" x14ac:dyDescent="0.2">
      <c r="A352" s="356"/>
      <c r="B352" s="344" t="s">
        <v>168</v>
      </c>
      <c r="C352" s="387"/>
      <c r="D352" s="138"/>
      <c r="E352" s="137"/>
    </row>
    <row r="353" spans="1:5" ht="24" x14ac:dyDescent="0.2">
      <c r="A353" s="359" t="s">
        <v>426</v>
      </c>
      <c r="B353" s="399" t="s">
        <v>398</v>
      </c>
      <c r="C353" s="364" t="s">
        <v>399</v>
      </c>
      <c r="D353" s="183">
        <f>SUM(D354:D356)</f>
        <v>255.45</v>
      </c>
      <c r="E353" s="174">
        <f>SUM(E354:E356)</f>
        <v>200</v>
      </c>
    </row>
    <row r="354" spans="1:5" x14ac:dyDescent="0.2">
      <c r="A354" s="356" t="s">
        <v>427</v>
      </c>
      <c r="B354" s="358" t="s">
        <v>172</v>
      </c>
      <c r="C354" s="364"/>
      <c r="D354" s="189">
        <f>244.7+5+1+0.45+0.4</f>
        <v>251.54999999999998</v>
      </c>
      <c r="E354" s="137">
        <v>198.5</v>
      </c>
    </row>
    <row r="355" spans="1:5" x14ac:dyDescent="0.2">
      <c r="A355" s="356" t="s">
        <v>428</v>
      </c>
      <c r="B355" s="239" t="s">
        <v>188</v>
      </c>
      <c r="C355" s="364"/>
      <c r="D355" s="189">
        <v>1.5</v>
      </c>
      <c r="E355" s="137">
        <v>1.5</v>
      </c>
    </row>
    <row r="356" spans="1:5" x14ac:dyDescent="0.2">
      <c r="A356" s="356" t="s">
        <v>429</v>
      </c>
      <c r="B356" s="239" t="s">
        <v>178</v>
      </c>
      <c r="C356" s="364"/>
      <c r="D356" s="189">
        <f>0.8+1.6</f>
        <v>2.4000000000000004</v>
      </c>
      <c r="E356" s="137"/>
    </row>
    <row r="357" spans="1:5" ht="24" x14ac:dyDescent="0.2">
      <c r="A357" s="356" t="s">
        <v>430</v>
      </c>
      <c r="B357" s="360" t="s">
        <v>179</v>
      </c>
      <c r="C357" s="364" t="s">
        <v>332</v>
      </c>
      <c r="D357" s="189">
        <f>SUM(D358)</f>
        <v>3.5</v>
      </c>
      <c r="E357" s="137">
        <f>SUM(E358)</f>
        <v>0.6</v>
      </c>
    </row>
    <row r="358" spans="1:5" x14ac:dyDescent="0.2">
      <c r="A358" s="224" t="s">
        <v>848</v>
      </c>
      <c r="B358" s="395" t="s">
        <v>172</v>
      </c>
      <c r="C358" s="373"/>
      <c r="D358" s="189">
        <v>3.5</v>
      </c>
      <c r="E358" s="137">
        <v>0.6</v>
      </c>
    </row>
    <row r="359" spans="1:5" x14ac:dyDescent="0.2">
      <c r="A359" s="353" t="s">
        <v>153</v>
      </c>
      <c r="B359" s="354" t="s">
        <v>152</v>
      </c>
      <c r="C359" s="430"/>
      <c r="D359" s="171">
        <f>SUM(D361+D365)</f>
        <v>322.8</v>
      </c>
      <c r="E359" s="172">
        <f>SUM(E361+E365)</f>
        <v>237.29999999999998</v>
      </c>
    </row>
    <row r="360" spans="1:5" x14ac:dyDescent="0.2">
      <c r="A360" s="356"/>
      <c r="B360" s="344" t="s">
        <v>168</v>
      </c>
      <c r="C360" s="375"/>
      <c r="D360" s="136"/>
      <c r="E360" s="137"/>
    </row>
    <row r="361" spans="1:5" ht="24" x14ac:dyDescent="0.2">
      <c r="A361" s="359" t="s">
        <v>431</v>
      </c>
      <c r="B361" s="399" t="s">
        <v>398</v>
      </c>
      <c r="C361" s="155" t="s">
        <v>399</v>
      </c>
      <c r="D361" s="173">
        <f>SUM(D362:D364)</f>
        <v>318</v>
      </c>
      <c r="E361" s="174">
        <f>SUM(E362:E364)</f>
        <v>235.2</v>
      </c>
    </row>
    <row r="362" spans="1:5" x14ac:dyDescent="0.2">
      <c r="A362" s="356" t="s">
        <v>432</v>
      </c>
      <c r="B362" s="358" t="s">
        <v>172</v>
      </c>
      <c r="C362" s="155"/>
      <c r="D362" s="136">
        <f>302.4+2+6.1+1</f>
        <v>311.5</v>
      </c>
      <c r="E362" s="137">
        <v>233.7</v>
      </c>
    </row>
    <row r="363" spans="1:5" x14ac:dyDescent="0.2">
      <c r="A363" s="356" t="s">
        <v>433</v>
      </c>
      <c r="B363" s="239" t="s">
        <v>188</v>
      </c>
      <c r="C363" s="155"/>
      <c r="D363" s="136">
        <v>1.5</v>
      </c>
      <c r="E363" s="137">
        <v>1.5</v>
      </c>
    </row>
    <row r="364" spans="1:5" x14ac:dyDescent="0.2">
      <c r="A364" s="356" t="s">
        <v>434</v>
      </c>
      <c r="B364" s="239" t="s">
        <v>178</v>
      </c>
      <c r="C364" s="155"/>
      <c r="D364" s="136">
        <v>5</v>
      </c>
      <c r="E364" s="137"/>
    </row>
    <row r="365" spans="1:5" ht="24" x14ac:dyDescent="0.2">
      <c r="A365" s="356" t="s">
        <v>435</v>
      </c>
      <c r="B365" s="239" t="s">
        <v>179</v>
      </c>
      <c r="C365" s="155" t="s">
        <v>332</v>
      </c>
      <c r="D365" s="136">
        <f>SUM(D366)</f>
        <v>4.8</v>
      </c>
      <c r="E365" s="137">
        <f>SUM(E366)</f>
        <v>2.1</v>
      </c>
    </row>
    <row r="366" spans="1:5" x14ac:dyDescent="0.2">
      <c r="A366" s="356" t="s">
        <v>436</v>
      </c>
      <c r="B366" s="395" t="s">
        <v>172</v>
      </c>
      <c r="C366" s="155"/>
      <c r="D366" s="161">
        <v>4.8</v>
      </c>
      <c r="E366" s="137">
        <v>2.1</v>
      </c>
    </row>
    <row r="367" spans="1:5" x14ac:dyDescent="0.2">
      <c r="A367" s="353" t="s">
        <v>155</v>
      </c>
      <c r="B367" s="354" t="s">
        <v>154</v>
      </c>
      <c r="C367" s="431"/>
      <c r="D367" s="186">
        <f>SUM(D369+D373)</f>
        <v>434.8</v>
      </c>
      <c r="E367" s="185">
        <f>SUM(E369+E373)</f>
        <v>311.89999999999998</v>
      </c>
    </row>
    <row r="368" spans="1:5" x14ac:dyDescent="0.2">
      <c r="A368" s="356"/>
      <c r="B368" s="344" t="s">
        <v>168</v>
      </c>
      <c r="C368" s="387"/>
      <c r="D368" s="138"/>
      <c r="E368" s="137"/>
    </row>
    <row r="369" spans="1:7" ht="24" x14ac:dyDescent="0.2">
      <c r="A369" s="359" t="s">
        <v>437</v>
      </c>
      <c r="B369" s="399" t="s">
        <v>398</v>
      </c>
      <c r="C369" s="364" t="s">
        <v>399</v>
      </c>
      <c r="D369" s="175">
        <f>SUM(D370:D372)</f>
        <v>431.6</v>
      </c>
      <c r="E369" s="174">
        <f>SUM(E370:E372)</f>
        <v>310</v>
      </c>
    </row>
    <row r="370" spans="1:7" x14ac:dyDescent="0.2">
      <c r="A370" s="356" t="s">
        <v>438</v>
      </c>
      <c r="B370" s="358" t="s">
        <v>172</v>
      </c>
      <c r="C370" s="364"/>
      <c r="D370" s="138">
        <f>370.6+40+4.5</f>
        <v>415.1</v>
      </c>
      <c r="E370" s="137">
        <v>308.5</v>
      </c>
    </row>
    <row r="371" spans="1:7" x14ac:dyDescent="0.2">
      <c r="A371" s="356" t="s">
        <v>439</v>
      </c>
      <c r="B371" s="239" t="s">
        <v>188</v>
      </c>
      <c r="C371" s="364"/>
      <c r="D371" s="138">
        <v>1.5</v>
      </c>
      <c r="E371" s="137">
        <v>1.5</v>
      </c>
    </row>
    <row r="372" spans="1:7" x14ac:dyDescent="0.2">
      <c r="A372" s="356" t="s">
        <v>440</v>
      </c>
      <c r="B372" s="239" t="s">
        <v>178</v>
      </c>
      <c r="C372" s="364"/>
      <c r="D372" s="138">
        <v>15</v>
      </c>
      <c r="E372" s="137"/>
    </row>
    <row r="373" spans="1:7" ht="24" x14ac:dyDescent="0.2">
      <c r="A373" s="356" t="s">
        <v>441</v>
      </c>
      <c r="B373" s="360" t="s">
        <v>179</v>
      </c>
      <c r="C373" s="364" t="s">
        <v>332</v>
      </c>
      <c r="D373" s="138">
        <f>SUM(D374)</f>
        <v>3.2</v>
      </c>
      <c r="E373" s="137">
        <f>SUM(E374)</f>
        <v>1.9</v>
      </c>
    </row>
    <row r="374" spans="1:7" x14ac:dyDescent="0.2">
      <c r="A374" s="356" t="s">
        <v>442</v>
      </c>
      <c r="B374" s="432" t="s">
        <v>172</v>
      </c>
      <c r="C374" s="373"/>
      <c r="D374" s="138">
        <v>3.2</v>
      </c>
      <c r="E374" s="137">
        <v>1.9</v>
      </c>
    </row>
    <row r="375" spans="1:7" x14ac:dyDescent="0.2">
      <c r="A375" s="353" t="s">
        <v>157</v>
      </c>
      <c r="B375" s="354" t="s">
        <v>156</v>
      </c>
      <c r="C375" s="433"/>
      <c r="D375" s="190">
        <f>SUM(D377+D381)</f>
        <v>310.35000000000002</v>
      </c>
      <c r="E375" s="185">
        <f>SUM(E377+E381)</f>
        <v>199.5</v>
      </c>
    </row>
    <row r="376" spans="1:7" x14ac:dyDescent="0.2">
      <c r="A376" s="356"/>
      <c r="B376" s="344" t="s">
        <v>168</v>
      </c>
      <c r="C376" s="356"/>
      <c r="D376" s="191"/>
      <c r="E376" s="137"/>
    </row>
    <row r="377" spans="1:7" ht="24" x14ac:dyDescent="0.2">
      <c r="A377" s="359" t="s">
        <v>443</v>
      </c>
      <c r="B377" s="399" t="s">
        <v>398</v>
      </c>
      <c r="C377" s="361" t="s">
        <v>399</v>
      </c>
      <c r="D377" s="202">
        <f>SUM(D378:D380)</f>
        <v>306.75</v>
      </c>
      <c r="E377" s="192">
        <f>SUM(E378:E380)</f>
        <v>198.5</v>
      </c>
    </row>
    <row r="378" spans="1:7" x14ac:dyDescent="0.2">
      <c r="A378" s="356" t="s">
        <v>444</v>
      </c>
      <c r="B378" s="358" t="s">
        <v>172</v>
      </c>
      <c r="C378" s="361"/>
      <c r="D378" s="191">
        <f>254.1+2+44.15</f>
        <v>300.25</v>
      </c>
      <c r="E378" s="146">
        <v>197</v>
      </c>
    </row>
    <row r="379" spans="1:7" x14ac:dyDescent="0.2">
      <c r="A379" s="356" t="s">
        <v>445</v>
      </c>
      <c r="B379" s="239" t="s">
        <v>188</v>
      </c>
      <c r="C379" s="361"/>
      <c r="D379" s="136">
        <v>1.5</v>
      </c>
      <c r="E379" s="146">
        <v>1.5</v>
      </c>
      <c r="G379" s="21"/>
    </row>
    <row r="380" spans="1:7" x14ac:dyDescent="0.2">
      <c r="A380" s="356" t="s">
        <v>446</v>
      </c>
      <c r="B380" s="239" t="s">
        <v>178</v>
      </c>
      <c r="C380" s="361"/>
      <c r="D380" s="136">
        <v>5</v>
      </c>
      <c r="E380" s="146"/>
      <c r="G380" s="21"/>
    </row>
    <row r="381" spans="1:7" ht="24" x14ac:dyDescent="0.2">
      <c r="A381" s="356" t="s">
        <v>447</v>
      </c>
      <c r="B381" s="239" t="s">
        <v>179</v>
      </c>
      <c r="C381" s="361" t="s">
        <v>332</v>
      </c>
      <c r="D381" s="136">
        <f>SUM(D382)</f>
        <v>3.6</v>
      </c>
      <c r="E381" s="146">
        <f>SUM(E382)</f>
        <v>1</v>
      </c>
      <c r="G381" s="21"/>
    </row>
    <row r="382" spans="1:7" x14ac:dyDescent="0.2">
      <c r="A382" s="356" t="s">
        <v>448</v>
      </c>
      <c r="B382" s="395" t="s">
        <v>172</v>
      </c>
      <c r="C382" s="434"/>
      <c r="D382" s="161">
        <v>3.6</v>
      </c>
      <c r="E382" s="146">
        <v>1</v>
      </c>
    </row>
    <row r="383" spans="1:7" x14ac:dyDescent="0.2">
      <c r="A383" s="354" t="s">
        <v>159</v>
      </c>
      <c r="B383" s="435" t="s">
        <v>158</v>
      </c>
      <c r="C383" s="408"/>
      <c r="D383" s="182">
        <f>SUM(D385+D389+D392)</f>
        <v>1566.4</v>
      </c>
      <c r="E383" s="193">
        <f>SUM(E385+E389)</f>
        <v>623.70000000000005</v>
      </c>
    </row>
    <row r="384" spans="1:7" x14ac:dyDescent="0.2">
      <c r="A384" s="387"/>
      <c r="B384" s="327" t="s">
        <v>168</v>
      </c>
      <c r="C384" s="344"/>
      <c r="D384" s="138"/>
      <c r="E384" s="146"/>
    </row>
    <row r="385" spans="1:5" x14ac:dyDescent="0.2">
      <c r="A385" s="387" t="s">
        <v>449</v>
      </c>
      <c r="B385" s="436" t="s">
        <v>450</v>
      </c>
      <c r="C385" s="364" t="s">
        <v>399</v>
      </c>
      <c r="D385" s="175">
        <f>SUM(D386:D388)</f>
        <v>1365.7</v>
      </c>
      <c r="E385" s="192">
        <f>SUM(E386:E388)</f>
        <v>619</v>
      </c>
    </row>
    <row r="386" spans="1:5" x14ac:dyDescent="0.2">
      <c r="A386" s="387" t="s">
        <v>451</v>
      </c>
      <c r="B386" s="403" t="s">
        <v>172</v>
      </c>
      <c r="C386" s="364"/>
      <c r="D386" s="138">
        <f>782.4+471+20+28.3</f>
        <v>1301.7</v>
      </c>
      <c r="E386" s="146">
        <v>593</v>
      </c>
    </row>
    <row r="387" spans="1:5" x14ac:dyDescent="0.2">
      <c r="A387" s="387" t="s">
        <v>452</v>
      </c>
      <c r="B387" s="403" t="s">
        <v>188</v>
      </c>
      <c r="C387" s="364"/>
      <c r="D387" s="138">
        <v>4</v>
      </c>
      <c r="E387" s="146">
        <v>4</v>
      </c>
    </row>
    <row r="388" spans="1:5" x14ac:dyDescent="0.2">
      <c r="A388" s="387" t="s">
        <v>453</v>
      </c>
      <c r="B388" s="403" t="s">
        <v>178</v>
      </c>
      <c r="C388" s="344"/>
      <c r="D388" s="138">
        <v>60</v>
      </c>
      <c r="E388" s="146">
        <v>22</v>
      </c>
    </row>
    <row r="389" spans="1:5" ht="24" x14ac:dyDescent="0.2">
      <c r="A389" s="387" t="s">
        <v>454</v>
      </c>
      <c r="B389" s="437" t="s">
        <v>179</v>
      </c>
      <c r="C389" s="364"/>
      <c r="D389" s="138">
        <f>SUM(D390+D391)</f>
        <v>143.79999999999998</v>
      </c>
      <c r="E389" s="146">
        <f>SUM(E390)</f>
        <v>4.7</v>
      </c>
    </row>
    <row r="390" spans="1:5" x14ac:dyDescent="0.2">
      <c r="A390" s="387" t="s">
        <v>455</v>
      </c>
      <c r="B390" s="403" t="s">
        <v>172</v>
      </c>
      <c r="C390" s="361" t="s">
        <v>332</v>
      </c>
      <c r="D390" s="137">
        <v>13.6</v>
      </c>
      <c r="E390" s="137">
        <v>4.7</v>
      </c>
    </row>
    <row r="391" spans="1:5" ht="12.6" customHeight="1" x14ac:dyDescent="0.2">
      <c r="A391" s="153" t="s">
        <v>819</v>
      </c>
      <c r="B391" s="438" t="s">
        <v>396</v>
      </c>
      <c r="C391" s="361" t="s">
        <v>399</v>
      </c>
      <c r="D391" s="137">
        <v>130.19999999999999</v>
      </c>
      <c r="E391" s="154"/>
    </row>
    <row r="392" spans="1:5" ht="24" customHeight="1" x14ac:dyDescent="0.2">
      <c r="A392" s="153" t="s">
        <v>843</v>
      </c>
      <c r="B392" s="363" t="s">
        <v>526</v>
      </c>
      <c r="C392" s="361" t="s">
        <v>540</v>
      </c>
      <c r="D392" s="136">
        <f>SUM(D393)</f>
        <v>56.9</v>
      </c>
      <c r="E392" s="137"/>
    </row>
    <row r="393" spans="1:5" ht="12.6" customHeight="1" x14ac:dyDescent="0.2">
      <c r="A393" s="153" t="s">
        <v>844</v>
      </c>
      <c r="B393" s="358" t="s">
        <v>172</v>
      </c>
      <c r="C393" s="361"/>
      <c r="D393" s="137">
        <v>56.9</v>
      </c>
      <c r="E393" s="137"/>
    </row>
    <row r="394" spans="1:5" ht="12.75" customHeight="1" x14ac:dyDescent="0.2">
      <c r="A394" s="354" t="s">
        <v>161</v>
      </c>
      <c r="B394" s="410" t="s">
        <v>160</v>
      </c>
      <c r="C394" s="439"/>
      <c r="D394" s="172">
        <f>SUM(D396)</f>
        <v>894.2</v>
      </c>
      <c r="E394" s="172">
        <f>SUM(E396)</f>
        <v>751.5</v>
      </c>
    </row>
    <row r="395" spans="1:5" ht="12.75" customHeight="1" x14ac:dyDescent="0.2">
      <c r="A395" s="343"/>
      <c r="B395" s="327" t="s">
        <v>168</v>
      </c>
      <c r="C395" s="440"/>
      <c r="D395" s="179"/>
      <c r="E395" s="137"/>
    </row>
    <row r="396" spans="1:5" ht="24" x14ac:dyDescent="0.2">
      <c r="A396" s="140" t="s">
        <v>456</v>
      </c>
      <c r="B396" s="437" t="s">
        <v>179</v>
      </c>
      <c r="C396" s="361" t="s">
        <v>457</v>
      </c>
      <c r="D396" s="174">
        <f>SUM(D397:D399)</f>
        <v>894.2</v>
      </c>
      <c r="E396" s="174">
        <f>SUM(E397:E399)</f>
        <v>751.5</v>
      </c>
    </row>
    <row r="397" spans="1:5" x14ac:dyDescent="0.2">
      <c r="A397" s="153" t="s">
        <v>458</v>
      </c>
      <c r="B397" s="403" t="s">
        <v>172</v>
      </c>
      <c r="C397" s="362"/>
      <c r="D397" s="137">
        <v>92.6</v>
      </c>
      <c r="E397" s="137">
        <v>13.4</v>
      </c>
    </row>
    <row r="398" spans="1:5" x14ac:dyDescent="0.2">
      <c r="A398" s="153" t="s">
        <v>770</v>
      </c>
      <c r="B398" s="415" t="s">
        <v>459</v>
      </c>
      <c r="C398" s="362"/>
      <c r="D398" s="137">
        <v>798.6</v>
      </c>
      <c r="E398" s="137">
        <v>738.1</v>
      </c>
    </row>
    <row r="399" spans="1:5" x14ac:dyDescent="0.2">
      <c r="A399" s="441" t="s">
        <v>771</v>
      </c>
      <c r="B399" s="424" t="s">
        <v>178</v>
      </c>
      <c r="C399" s="442"/>
      <c r="D399" s="181">
        <v>3</v>
      </c>
      <c r="E399" s="137"/>
    </row>
    <row r="400" spans="1:5" x14ac:dyDescent="0.2">
      <c r="A400" s="343" t="s">
        <v>460</v>
      </c>
      <c r="B400" s="422" t="s">
        <v>461</v>
      </c>
      <c r="C400" s="364"/>
      <c r="D400" s="182">
        <f>SUM(D402)</f>
        <v>153.5</v>
      </c>
      <c r="E400" s="193">
        <f>SUM(E402)</f>
        <v>142.4</v>
      </c>
    </row>
    <row r="401" spans="1:5" x14ac:dyDescent="0.2">
      <c r="A401" s="387"/>
      <c r="B401" s="362" t="s">
        <v>168</v>
      </c>
      <c r="C401" s="364" t="s">
        <v>332</v>
      </c>
      <c r="D401" s="136"/>
      <c r="E401" s="146"/>
    </row>
    <row r="402" spans="1:5" ht="24" x14ac:dyDescent="0.2">
      <c r="A402" s="227" t="s">
        <v>462</v>
      </c>
      <c r="B402" s="443" t="s">
        <v>179</v>
      </c>
      <c r="C402" s="364"/>
      <c r="D402" s="173">
        <f>SUM(D403)</f>
        <v>153.5</v>
      </c>
      <c r="E402" s="192">
        <f>SUM(E403)</f>
        <v>142.4</v>
      </c>
    </row>
    <row r="403" spans="1:5" x14ac:dyDescent="0.2">
      <c r="A403" s="444" t="s">
        <v>463</v>
      </c>
      <c r="B403" s="424" t="s">
        <v>172</v>
      </c>
      <c r="C403" s="434"/>
      <c r="D403" s="161">
        <v>153.5</v>
      </c>
      <c r="E403" s="208">
        <v>142.4</v>
      </c>
    </row>
    <row r="404" spans="1:5" s="92" customFormat="1" x14ac:dyDescent="0.2">
      <c r="A404" s="445" t="s">
        <v>464</v>
      </c>
      <c r="B404" s="370" t="s">
        <v>162</v>
      </c>
      <c r="C404" s="343"/>
      <c r="D404" s="209">
        <f>D406+D415+D423+D446+D451+D466+D500+D508+D512</f>
        <v>41555.572</v>
      </c>
      <c r="E404" s="204">
        <f>E406+E415+E423+E446+E451+E466+E500+E508+E512</f>
        <v>7791.6629999999996</v>
      </c>
    </row>
    <row r="405" spans="1:5" x14ac:dyDescent="0.2">
      <c r="A405" s="387"/>
      <c r="B405" s="362" t="s">
        <v>168</v>
      </c>
      <c r="C405" s="387"/>
      <c r="D405" s="178"/>
      <c r="E405" s="146"/>
    </row>
    <row r="406" spans="1:5" x14ac:dyDescent="0.2">
      <c r="A406" s="387" t="s">
        <v>465</v>
      </c>
      <c r="B406" s="446" t="s">
        <v>169</v>
      </c>
      <c r="C406" s="364" t="s">
        <v>170</v>
      </c>
      <c r="D406" s="231">
        <f>SUM(D407:D414)</f>
        <v>4307.2710000000006</v>
      </c>
      <c r="E406" s="210">
        <f>SUM(E407:E411)</f>
        <v>12.7</v>
      </c>
    </row>
    <row r="407" spans="1:5" x14ac:dyDescent="0.2">
      <c r="A407" s="387" t="s">
        <v>466</v>
      </c>
      <c r="B407" s="403" t="s">
        <v>172</v>
      </c>
      <c r="C407" s="364"/>
      <c r="D407" s="139">
        <f>2525.9+37.6+200-807+272.6</f>
        <v>2229.1</v>
      </c>
      <c r="E407" s="146">
        <v>1.6</v>
      </c>
    </row>
    <row r="408" spans="1:5" ht="12.6" customHeight="1" x14ac:dyDescent="0.2">
      <c r="A408" s="227" t="s">
        <v>467</v>
      </c>
      <c r="B408" s="239" t="s">
        <v>174</v>
      </c>
      <c r="C408" s="237"/>
      <c r="D408" s="139">
        <v>579.20000000000005</v>
      </c>
      <c r="E408" s="211"/>
    </row>
    <row r="409" spans="1:5" ht="23.25" customHeight="1" x14ac:dyDescent="0.2">
      <c r="A409" s="140" t="s">
        <v>468</v>
      </c>
      <c r="B409" s="151" t="s">
        <v>759</v>
      </c>
      <c r="C409" s="237"/>
      <c r="D409" s="212">
        <v>269.89999999999998</v>
      </c>
      <c r="E409" s="213">
        <v>8</v>
      </c>
    </row>
    <row r="410" spans="1:5" ht="35.25" customHeight="1" x14ac:dyDescent="0.2">
      <c r="A410" s="227" t="s">
        <v>469</v>
      </c>
      <c r="B410" s="239" t="s">
        <v>470</v>
      </c>
      <c r="C410" s="237"/>
      <c r="D410" s="214">
        <v>792.2</v>
      </c>
      <c r="E410" s="213">
        <v>3.1</v>
      </c>
    </row>
    <row r="411" spans="1:5" ht="22.5" customHeight="1" x14ac:dyDescent="0.2">
      <c r="A411" s="140" t="s">
        <v>783</v>
      </c>
      <c r="B411" s="447" t="s">
        <v>54</v>
      </c>
      <c r="C411" s="237"/>
      <c r="D411" s="215">
        <v>350</v>
      </c>
      <c r="E411" s="213"/>
    </row>
    <row r="412" spans="1:5" ht="22.5" customHeight="1" x14ac:dyDescent="0.2">
      <c r="A412" s="140" t="s">
        <v>857</v>
      </c>
      <c r="B412" s="151" t="s">
        <v>859</v>
      </c>
      <c r="C412" s="237"/>
      <c r="D412" s="238">
        <v>36.628999999999998</v>
      </c>
      <c r="E412" s="213"/>
    </row>
    <row r="413" spans="1:5" ht="45" customHeight="1" x14ac:dyDescent="0.2">
      <c r="A413" s="140" t="s">
        <v>858</v>
      </c>
      <c r="B413" s="239" t="s">
        <v>860</v>
      </c>
      <c r="C413" s="237"/>
      <c r="D413" s="240">
        <v>49.25</v>
      </c>
      <c r="E413" s="213"/>
    </row>
    <row r="414" spans="1:5" ht="36" customHeight="1" x14ac:dyDescent="0.2">
      <c r="A414" s="140" t="s">
        <v>931</v>
      </c>
      <c r="B414" s="334" t="s">
        <v>915</v>
      </c>
      <c r="C414" s="237"/>
      <c r="D414" s="238">
        <f>0.124+0.248+0.62</f>
        <v>0.99199999999999999</v>
      </c>
      <c r="E414" s="319"/>
    </row>
    <row r="415" spans="1:5" x14ac:dyDescent="0.2">
      <c r="A415" s="227" t="s">
        <v>471</v>
      </c>
      <c r="B415" s="416" t="s">
        <v>347</v>
      </c>
      <c r="C415" s="364" t="s">
        <v>348</v>
      </c>
      <c r="D415" s="210">
        <f>SUM(D416+D421+D422)</f>
        <v>1841.9</v>
      </c>
      <c r="E415" s="210">
        <f>SUM(E416+E421+E422)</f>
        <v>0</v>
      </c>
    </row>
    <row r="416" spans="1:5" x14ac:dyDescent="0.2">
      <c r="A416" s="387" t="s">
        <v>472</v>
      </c>
      <c r="B416" s="371" t="s">
        <v>172</v>
      </c>
      <c r="C416" s="364"/>
      <c r="D416" s="136">
        <f>1127.4+12</f>
        <v>1139.4000000000001</v>
      </c>
      <c r="E416" s="146"/>
    </row>
    <row r="417" spans="1:6" ht="12.75" customHeight="1" x14ac:dyDescent="0.2">
      <c r="A417" s="387"/>
      <c r="B417" s="362" t="s">
        <v>168</v>
      </c>
      <c r="C417" s="364"/>
      <c r="D417" s="136"/>
      <c r="E417" s="146"/>
    </row>
    <row r="418" spans="1:6" ht="12.75" customHeight="1" x14ac:dyDescent="0.2">
      <c r="A418" s="153" t="s">
        <v>473</v>
      </c>
      <c r="B418" s="448" t="s">
        <v>487</v>
      </c>
      <c r="C418" s="364"/>
      <c r="D418" s="136">
        <v>62</v>
      </c>
      <c r="E418" s="146"/>
    </row>
    <row r="419" spans="1:6" ht="12.75" customHeight="1" x14ac:dyDescent="0.2">
      <c r="A419" s="153" t="s">
        <v>772</v>
      </c>
      <c r="B419" s="335" t="s">
        <v>495</v>
      </c>
      <c r="C419" s="364"/>
      <c r="D419" s="136">
        <v>25</v>
      </c>
      <c r="E419" s="146"/>
    </row>
    <row r="420" spans="1:6" ht="12.75" customHeight="1" x14ac:dyDescent="0.2">
      <c r="A420" s="153" t="s">
        <v>773</v>
      </c>
      <c r="B420" s="449" t="s">
        <v>502</v>
      </c>
      <c r="C420" s="364"/>
      <c r="D420" s="136">
        <v>12</v>
      </c>
      <c r="E420" s="146"/>
    </row>
    <row r="421" spans="1:6" ht="12.75" customHeight="1" x14ac:dyDescent="0.2">
      <c r="A421" s="153" t="s">
        <v>851</v>
      </c>
      <c r="B421" s="415" t="s">
        <v>459</v>
      </c>
      <c r="C421" s="364"/>
      <c r="D421" s="136">
        <v>455</v>
      </c>
      <c r="E421" s="146"/>
    </row>
    <row r="422" spans="1:6" ht="33.6" customHeight="1" x14ac:dyDescent="0.2">
      <c r="A422" s="140" t="s">
        <v>852</v>
      </c>
      <c r="B422" s="404" t="s">
        <v>470</v>
      </c>
      <c r="C422" s="364"/>
      <c r="D422" s="136">
        <v>247.5</v>
      </c>
      <c r="E422" s="146"/>
    </row>
    <row r="423" spans="1:6" ht="12.75" customHeight="1" x14ac:dyDescent="0.2">
      <c r="A423" s="387" t="s">
        <v>475</v>
      </c>
      <c r="B423" s="436" t="s">
        <v>476</v>
      </c>
      <c r="C423" s="450" t="s">
        <v>477</v>
      </c>
      <c r="D423" s="173">
        <f>D425+D426+D439+D442+D443+D444+D445</f>
        <v>6281.3</v>
      </c>
      <c r="E423" s="174">
        <f>E425+E426+E439+E442+E443+E444+E445</f>
        <v>863.7</v>
      </c>
    </row>
    <row r="424" spans="1:6" ht="12.75" customHeight="1" x14ac:dyDescent="0.2">
      <c r="A424" s="387"/>
      <c r="B424" s="362" t="s">
        <v>478</v>
      </c>
      <c r="C424" s="451"/>
      <c r="D424" s="138"/>
      <c r="E424" s="146"/>
    </row>
    <row r="425" spans="1:6" ht="12.75" customHeight="1" x14ac:dyDescent="0.2">
      <c r="A425" s="227" t="s">
        <v>479</v>
      </c>
      <c r="B425" s="244" t="s">
        <v>480</v>
      </c>
      <c r="C425" s="451"/>
      <c r="D425" s="138">
        <f>280+67.1</f>
        <v>347.1</v>
      </c>
      <c r="E425" s="146"/>
    </row>
    <row r="426" spans="1:6" ht="12" customHeight="1" x14ac:dyDescent="0.2">
      <c r="A426" s="387" t="s">
        <v>481</v>
      </c>
      <c r="B426" s="371" t="s">
        <v>396</v>
      </c>
      <c r="C426" s="451"/>
      <c r="D426" s="138">
        <f>14.4+485.4+42.9+25.6+4.1+50+50+85+250+9+32.1+10+10+20+713.1+292+1492.2-400-43.5</f>
        <v>3142.3</v>
      </c>
      <c r="E426" s="146">
        <v>863.7</v>
      </c>
    </row>
    <row r="427" spans="1:6" ht="12" customHeight="1" x14ac:dyDescent="0.2">
      <c r="A427" s="387"/>
      <c r="B427" s="362" t="s">
        <v>168</v>
      </c>
      <c r="C427" s="451"/>
      <c r="D427" s="138"/>
      <c r="E427" s="146"/>
    </row>
    <row r="428" spans="1:6" ht="12" customHeight="1" x14ac:dyDescent="0.2">
      <c r="A428" s="387" t="s">
        <v>482</v>
      </c>
      <c r="B428" s="362" t="s">
        <v>483</v>
      </c>
      <c r="C428" s="451"/>
      <c r="D428" s="138">
        <v>48.5</v>
      </c>
      <c r="E428" s="146">
        <v>26.7</v>
      </c>
      <c r="F428" s="93"/>
    </row>
    <row r="429" spans="1:6" ht="12" customHeight="1" x14ac:dyDescent="0.2">
      <c r="A429" s="387" t="s">
        <v>484</v>
      </c>
      <c r="B429" s="362" t="s">
        <v>485</v>
      </c>
      <c r="C429" s="451"/>
      <c r="D429" s="138">
        <v>80.599999999999994</v>
      </c>
      <c r="E429" s="146">
        <v>40.700000000000003</v>
      </c>
    </row>
    <row r="430" spans="1:6" ht="12" customHeight="1" x14ac:dyDescent="0.2">
      <c r="A430" s="387" t="s">
        <v>486</v>
      </c>
      <c r="B430" s="362" t="s">
        <v>487</v>
      </c>
      <c r="C430" s="451"/>
      <c r="D430" s="138">
        <v>95.5</v>
      </c>
      <c r="E430" s="146">
        <v>58.8</v>
      </c>
    </row>
    <row r="431" spans="1:6" ht="12" customHeight="1" x14ac:dyDescent="0.2">
      <c r="A431" s="387" t="s">
        <v>488</v>
      </c>
      <c r="B431" s="362" t="s">
        <v>489</v>
      </c>
      <c r="C431" s="451"/>
      <c r="D431" s="138">
        <v>80.5</v>
      </c>
      <c r="E431" s="146">
        <v>31.6</v>
      </c>
    </row>
    <row r="432" spans="1:6" ht="12" customHeight="1" x14ac:dyDescent="0.2">
      <c r="A432" s="387" t="s">
        <v>490</v>
      </c>
      <c r="B432" s="362" t="s">
        <v>491</v>
      </c>
      <c r="C432" s="451"/>
      <c r="D432" s="138">
        <v>534.70000000000005</v>
      </c>
      <c r="E432" s="146">
        <v>344</v>
      </c>
    </row>
    <row r="433" spans="1:5" ht="12" customHeight="1" x14ac:dyDescent="0.2">
      <c r="A433" s="387" t="s">
        <v>492</v>
      </c>
      <c r="B433" s="362" t="s">
        <v>493</v>
      </c>
      <c r="C433" s="451"/>
      <c r="D433" s="138">
        <v>46.2</v>
      </c>
      <c r="E433" s="146">
        <v>33.6</v>
      </c>
    </row>
    <row r="434" spans="1:5" ht="12" customHeight="1" x14ac:dyDescent="0.2">
      <c r="A434" s="387" t="s">
        <v>494</v>
      </c>
      <c r="B434" s="362" t="s">
        <v>495</v>
      </c>
      <c r="C434" s="451"/>
      <c r="D434" s="138">
        <v>123.4</v>
      </c>
      <c r="E434" s="146">
        <v>79</v>
      </c>
    </row>
    <row r="435" spans="1:5" ht="12" customHeight="1" x14ac:dyDescent="0.2">
      <c r="A435" s="387" t="s">
        <v>496</v>
      </c>
      <c r="B435" s="362" t="s">
        <v>474</v>
      </c>
      <c r="C435" s="451"/>
      <c r="D435" s="138">
        <v>217.3</v>
      </c>
      <c r="E435" s="146">
        <v>134.4</v>
      </c>
    </row>
    <row r="436" spans="1:5" ht="12" customHeight="1" x14ac:dyDescent="0.2">
      <c r="A436" s="387" t="s">
        <v>497</v>
      </c>
      <c r="B436" s="362" t="s">
        <v>498</v>
      </c>
      <c r="C436" s="451"/>
      <c r="D436" s="138">
        <v>74.2</v>
      </c>
      <c r="E436" s="146">
        <v>27.2</v>
      </c>
    </row>
    <row r="437" spans="1:5" ht="12" customHeight="1" x14ac:dyDescent="0.2">
      <c r="A437" s="387" t="s">
        <v>499</v>
      </c>
      <c r="B437" s="362" t="s">
        <v>500</v>
      </c>
      <c r="C437" s="451"/>
      <c r="D437" s="138">
        <v>107</v>
      </c>
      <c r="E437" s="146">
        <v>51.1</v>
      </c>
    </row>
    <row r="438" spans="1:5" ht="12" customHeight="1" x14ac:dyDescent="0.2">
      <c r="A438" s="387" t="s">
        <v>501</v>
      </c>
      <c r="B438" s="362" t="s">
        <v>502</v>
      </c>
      <c r="C438" s="451"/>
      <c r="D438" s="138">
        <f>84.3+20+1.5</f>
        <v>105.8</v>
      </c>
      <c r="E438" s="146">
        <v>31.5</v>
      </c>
    </row>
    <row r="439" spans="1:5" ht="12" customHeight="1" x14ac:dyDescent="0.2">
      <c r="A439" s="387" t="s">
        <v>503</v>
      </c>
      <c r="B439" s="371" t="s">
        <v>178</v>
      </c>
      <c r="C439" s="451"/>
      <c r="D439" s="138">
        <v>10</v>
      </c>
      <c r="E439" s="146"/>
    </row>
    <row r="440" spans="1:5" ht="12" customHeight="1" x14ac:dyDescent="0.2">
      <c r="A440" s="387"/>
      <c r="B440" s="362" t="s">
        <v>168</v>
      </c>
      <c r="C440" s="451"/>
      <c r="D440" s="138"/>
      <c r="E440" s="146"/>
    </row>
    <row r="441" spans="1:5" ht="12" customHeight="1" x14ac:dyDescent="0.2">
      <c r="A441" s="387" t="s">
        <v>504</v>
      </c>
      <c r="B441" s="362" t="s">
        <v>474</v>
      </c>
      <c r="C441" s="451"/>
      <c r="D441" s="138">
        <v>10</v>
      </c>
      <c r="E441" s="146"/>
    </row>
    <row r="442" spans="1:5" ht="24" customHeight="1" x14ac:dyDescent="0.2">
      <c r="A442" s="140" t="s">
        <v>505</v>
      </c>
      <c r="B442" s="404" t="s">
        <v>411</v>
      </c>
      <c r="C442" s="451"/>
      <c r="D442" s="138">
        <v>215.9</v>
      </c>
      <c r="E442" s="146"/>
    </row>
    <row r="443" spans="1:5" ht="24.75" customHeight="1" x14ac:dyDescent="0.2">
      <c r="A443" s="140" t="s">
        <v>849</v>
      </c>
      <c r="B443" s="452" t="s">
        <v>507</v>
      </c>
      <c r="C443" s="453"/>
      <c r="D443" s="138">
        <v>2500</v>
      </c>
      <c r="E443" s="146"/>
    </row>
    <row r="444" spans="1:5" ht="35.450000000000003" customHeight="1" x14ac:dyDescent="0.2">
      <c r="A444" s="140" t="s">
        <v>506</v>
      </c>
      <c r="B444" s="239" t="s">
        <v>652</v>
      </c>
      <c r="C444" s="454"/>
      <c r="D444" s="138">
        <v>13.9</v>
      </c>
      <c r="E444" s="146"/>
    </row>
    <row r="445" spans="1:5" ht="13.15" customHeight="1" x14ac:dyDescent="0.2">
      <c r="A445" s="140" t="s">
        <v>508</v>
      </c>
      <c r="B445" s="144" t="s">
        <v>40</v>
      </c>
      <c r="C445" s="454"/>
      <c r="D445" s="138">
        <f>47.1+5</f>
        <v>52.1</v>
      </c>
      <c r="E445" s="146"/>
    </row>
    <row r="446" spans="1:5" ht="13.15" customHeight="1" x14ac:dyDescent="0.2">
      <c r="A446" s="387" t="s">
        <v>510</v>
      </c>
      <c r="B446" s="455" t="s">
        <v>328</v>
      </c>
      <c r="C446" s="456" t="s">
        <v>358</v>
      </c>
      <c r="D446" s="174">
        <f>SUM(D447:D450)</f>
        <v>285.5</v>
      </c>
      <c r="E446" s="174">
        <f>SUM(E447:E450)</f>
        <v>56.3</v>
      </c>
    </row>
    <row r="447" spans="1:5" ht="12.75" customHeight="1" x14ac:dyDescent="0.2">
      <c r="A447" s="387" t="s">
        <v>511</v>
      </c>
      <c r="B447" s="371" t="s">
        <v>512</v>
      </c>
      <c r="C447" s="456"/>
      <c r="D447" s="138">
        <f>16.6+10+31.7+50+28</f>
        <v>136.30000000000001</v>
      </c>
      <c r="E447" s="146">
        <v>16.3</v>
      </c>
    </row>
    <row r="448" spans="1:5" ht="15" customHeight="1" x14ac:dyDescent="0.2">
      <c r="A448" s="227" t="s">
        <v>513</v>
      </c>
      <c r="B448" s="244" t="s">
        <v>480</v>
      </c>
      <c r="C448" s="456"/>
      <c r="D448" s="138">
        <f>36.3+16.8</f>
        <v>53.099999999999994</v>
      </c>
      <c r="E448" s="146"/>
    </row>
    <row r="449" spans="1:5" ht="37.5" customHeight="1" x14ac:dyDescent="0.2">
      <c r="A449" s="227" t="s">
        <v>514</v>
      </c>
      <c r="B449" s="452" t="s">
        <v>769</v>
      </c>
      <c r="C449" s="456"/>
      <c r="D449" s="138">
        <v>96.1</v>
      </c>
      <c r="E449" s="137">
        <v>40</v>
      </c>
    </row>
    <row r="450" spans="1:5" ht="37.5" customHeight="1" x14ac:dyDescent="0.2">
      <c r="A450" s="140" t="s">
        <v>776</v>
      </c>
      <c r="B450" s="452" t="s">
        <v>775</v>
      </c>
      <c r="C450" s="456"/>
      <c r="D450" s="138">
        <f>124-124</f>
        <v>0</v>
      </c>
      <c r="E450" s="137"/>
    </row>
    <row r="451" spans="1:5" ht="13.5" customHeight="1" x14ac:dyDescent="0.2">
      <c r="A451" s="227" t="s">
        <v>515</v>
      </c>
      <c r="B451" s="363" t="s">
        <v>250</v>
      </c>
      <c r="C451" s="457"/>
      <c r="D451" s="205">
        <f>SUM(D453:D465)</f>
        <v>6909.5990000000011</v>
      </c>
      <c r="E451" s="174">
        <f>SUM(E453:E465)</f>
        <v>192.5</v>
      </c>
    </row>
    <row r="452" spans="1:5" ht="12.75" customHeight="1" x14ac:dyDescent="0.2">
      <c r="A452" s="387"/>
      <c r="B452" s="362" t="s">
        <v>478</v>
      </c>
      <c r="C452" s="457"/>
      <c r="D452" s="173"/>
      <c r="E452" s="146"/>
    </row>
    <row r="453" spans="1:5" ht="11.25" customHeight="1" x14ac:dyDescent="0.2">
      <c r="A453" s="153" t="s">
        <v>516</v>
      </c>
      <c r="B453" s="371" t="s">
        <v>396</v>
      </c>
      <c r="C453" s="145" t="s">
        <v>399</v>
      </c>
      <c r="D453" s="136">
        <f>143.6+100+100+50</f>
        <v>393.6</v>
      </c>
      <c r="E453" s="146"/>
    </row>
    <row r="454" spans="1:5" ht="11.25" customHeight="1" x14ac:dyDescent="0.2">
      <c r="A454" s="153" t="s">
        <v>517</v>
      </c>
      <c r="B454" s="371" t="s">
        <v>396</v>
      </c>
      <c r="C454" s="145" t="s">
        <v>104</v>
      </c>
      <c r="D454" s="136">
        <f>120+1473.4+215+7+20+70+30+35+626+60+25+2+60+20+150+103.3+41.3+23.4+33-27.2+86+12</f>
        <v>3185.2000000000007</v>
      </c>
      <c r="E454" s="146">
        <f>28.1+15+63</f>
        <v>106.1</v>
      </c>
    </row>
    <row r="455" spans="1:5" ht="12" customHeight="1" x14ac:dyDescent="0.2">
      <c r="A455" s="140" t="s">
        <v>518</v>
      </c>
      <c r="B455" s="371" t="s">
        <v>361</v>
      </c>
      <c r="C455" s="457"/>
      <c r="D455" s="136">
        <f>1992.7+177.9</f>
        <v>2170.6</v>
      </c>
      <c r="E455" s="146">
        <f>58+10</f>
        <v>68</v>
      </c>
    </row>
    <row r="456" spans="1:5" ht="12.75" customHeight="1" x14ac:dyDescent="0.2">
      <c r="A456" s="153" t="s">
        <v>519</v>
      </c>
      <c r="B456" s="371" t="s">
        <v>178</v>
      </c>
      <c r="C456" s="457"/>
      <c r="D456" s="136">
        <v>26</v>
      </c>
      <c r="E456" s="146"/>
    </row>
    <row r="457" spans="1:5" ht="22.9" customHeight="1" x14ac:dyDescent="0.2">
      <c r="A457" s="153" t="s">
        <v>520</v>
      </c>
      <c r="B457" s="404" t="s">
        <v>411</v>
      </c>
      <c r="C457" s="457"/>
      <c r="D457" s="136">
        <v>273.8</v>
      </c>
      <c r="E457" s="146">
        <v>2.9</v>
      </c>
    </row>
    <row r="458" spans="1:5" ht="36" customHeight="1" x14ac:dyDescent="0.2">
      <c r="A458" s="140" t="s">
        <v>521</v>
      </c>
      <c r="B458" s="151" t="s">
        <v>761</v>
      </c>
      <c r="C458" s="457"/>
      <c r="D458" s="136">
        <v>125.3</v>
      </c>
      <c r="E458" s="146"/>
    </row>
    <row r="459" spans="1:5" ht="24" customHeight="1" x14ac:dyDescent="0.2">
      <c r="A459" s="140" t="s">
        <v>522</v>
      </c>
      <c r="B459" s="458" t="s">
        <v>637</v>
      </c>
      <c r="C459" s="459"/>
      <c r="D459" s="136">
        <f>33.7-15.4</f>
        <v>18.300000000000004</v>
      </c>
      <c r="E459" s="146">
        <f>29.5-14.8</f>
        <v>14.7</v>
      </c>
    </row>
    <row r="460" spans="1:5" ht="12.6" customHeight="1" x14ac:dyDescent="0.2">
      <c r="A460" s="140" t="s">
        <v>523</v>
      </c>
      <c r="B460" s="141" t="s">
        <v>796</v>
      </c>
      <c r="C460" s="142"/>
      <c r="D460" s="207">
        <f>158.4+0.017+36.1</f>
        <v>194.517</v>
      </c>
      <c r="E460" s="146"/>
    </row>
    <row r="461" spans="1:5" ht="25.15" customHeight="1" x14ac:dyDescent="0.2">
      <c r="A461" s="229" t="s">
        <v>792</v>
      </c>
      <c r="B461" s="151" t="s">
        <v>524</v>
      </c>
      <c r="C461" s="460" t="s">
        <v>399</v>
      </c>
      <c r="D461" s="207">
        <f>43+1.606</f>
        <v>44.606000000000002</v>
      </c>
      <c r="E461" s="146">
        <v>0.8</v>
      </c>
    </row>
    <row r="462" spans="1:5" ht="16.899999999999999" customHeight="1" x14ac:dyDescent="0.2">
      <c r="A462" s="229" t="s">
        <v>820</v>
      </c>
      <c r="B462" s="151" t="s">
        <v>822</v>
      </c>
      <c r="C462" s="461" t="s">
        <v>104</v>
      </c>
      <c r="D462" s="207">
        <v>39.698</v>
      </c>
      <c r="E462" s="137"/>
    </row>
    <row r="463" spans="1:5" ht="36.75" customHeight="1" x14ac:dyDescent="0.2">
      <c r="A463" s="229" t="s">
        <v>821</v>
      </c>
      <c r="B463" s="151" t="s">
        <v>823</v>
      </c>
      <c r="C463" s="461" t="s">
        <v>104</v>
      </c>
      <c r="D463" s="207">
        <v>104.178</v>
      </c>
      <c r="E463" s="137"/>
    </row>
    <row r="464" spans="1:5" ht="36.75" customHeight="1" x14ac:dyDescent="0.2">
      <c r="A464" s="229" t="s">
        <v>932</v>
      </c>
      <c r="B464" s="334" t="s">
        <v>936</v>
      </c>
      <c r="C464" s="460" t="s">
        <v>104</v>
      </c>
      <c r="D464" s="136">
        <f>14.7+73.8</f>
        <v>88.5</v>
      </c>
      <c r="E464" s="137"/>
    </row>
    <row r="465" spans="1:5" ht="36.75" customHeight="1" x14ac:dyDescent="0.2">
      <c r="A465" s="229" t="s">
        <v>954</v>
      </c>
      <c r="B465" s="334" t="s">
        <v>948</v>
      </c>
      <c r="C465" s="460" t="s">
        <v>104</v>
      </c>
      <c r="D465" s="136">
        <v>245.3</v>
      </c>
      <c r="E465" s="137"/>
    </row>
    <row r="466" spans="1:5" ht="24" customHeight="1" x14ac:dyDescent="0.2">
      <c r="A466" s="227" t="s">
        <v>525</v>
      </c>
      <c r="B466" s="363" t="s">
        <v>526</v>
      </c>
      <c r="C466" s="457"/>
      <c r="D466" s="173">
        <f>D468+D481+D494+D495+D496+D497+D498+D499</f>
        <v>8639.9</v>
      </c>
      <c r="E466" s="174">
        <f>E468+E481+E494+E495+E496+E497+E498</f>
        <v>9.2999999999999989</v>
      </c>
    </row>
    <row r="467" spans="1:5" ht="13.15" customHeight="1" x14ac:dyDescent="0.2">
      <c r="A467" s="387"/>
      <c r="B467" s="362" t="s">
        <v>478</v>
      </c>
      <c r="C467" s="457"/>
      <c r="D467" s="173"/>
      <c r="E467" s="146"/>
    </row>
    <row r="468" spans="1:5" ht="12.75" customHeight="1" x14ac:dyDescent="0.2">
      <c r="A468" s="387" t="s">
        <v>527</v>
      </c>
      <c r="B468" s="371" t="s">
        <v>396</v>
      </c>
      <c r="C468" s="145" t="s">
        <v>348</v>
      </c>
      <c r="D468" s="136">
        <f>30+50+5+30+50+100+122.7+50+3+50+100+40+7+150+173.2+200+50+60+215+24+64+10+10+18+50+3+100+403.9+21.7</f>
        <v>2190.5</v>
      </c>
      <c r="E468" s="146"/>
    </row>
    <row r="469" spans="1:5" ht="12.75" customHeight="1" x14ac:dyDescent="0.2">
      <c r="A469" s="387"/>
      <c r="B469" s="362" t="s">
        <v>168</v>
      </c>
      <c r="C469" s="145"/>
      <c r="D469" s="136"/>
      <c r="E469" s="146"/>
    </row>
    <row r="470" spans="1:5" ht="12.75" customHeight="1" x14ac:dyDescent="0.2">
      <c r="A470" s="387" t="s">
        <v>528</v>
      </c>
      <c r="B470" s="362" t="s">
        <v>483</v>
      </c>
      <c r="C470" s="145"/>
      <c r="D470" s="136">
        <v>12.4</v>
      </c>
      <c r="E470" s="146"/>
    </row>
    <row r="471" spans="1:5" ht="12.75" customHeight="1" x14ac:dyDescent="0.2">
      <c r="A471" s="387" t="s">
        <v>529</v>
      </c>
      <c r="B471" s="362" t="s">
        <v>485</v>
      </c>
      <c r="C471" s="145"/>
      <c r="D471" s="136">
        <f>25.1+20</f>
        <v>45.1</v>
      </c>
      <c r="E471" s="146"/>
    </row>
    <row r="472" spans="1:5" ht="12.75" customHeight="1" x14ac:dyDescent="0.2">
      <c r="A472" s="387" t="s">
        <v>530</v>
      </c>
      <c r="B472" s="362" t="s">
        <v>487</v>
      </c>
      <c r="C472" s="145"/>
      <c r="D472" s="136">
        <v>38.700000000000003</v>
      </c>
      <c r="E472" s="146"/>
    </row>
    <row r="473" spans="1:5" ht="12.75" customHeight="1" x14ac:dyDescent="0.2">
      <c r="A473" s="387" t="s">
        <v>531</v>
      </c>
      <c r="B473" s="362" t="s">
        <v>489</v>
      </c>
      <c r="C473" s="145"/>
      <c r="D473" s="136">
        <v>17.5</v>
      </c>
      <c r="E473" s="146"/>
    </row>
    <row r="474" spans="1:5" ht="12.75" customHeight="1" x14ac:dyDescent="0.2">
      <c r="A474" s="387" t="s">
        <v>532</v>
      </c>
      <c r="B474" s="362" t="s">
        <v>491</v>
      </c>
      <c r="C474" s="145"/>
      <c r="D474" s="136">
        <v>77.2</v>
      </c>
      <c r="E474" s="146"/>
    </row>
    <row r="475" spans="1:5" ht="12.75" customHeight="1" x14ac:dyDescent="0.2">
      <c r="A475" s="387" t="s">
        <v>533</v>
      </c>
      <c r="B475" s="362" t="s">
        <v>493</v>
      </c>
      <c r="C475" s="145"/>
      <c r="D475" s="136">
        <v>8.9</v>
      </c>
      <c r="E475" s="146"/>
    </row>
    <row r="476" spans="1:5" ht="12.75" customHeight="1" x14ac:dyDescent="0.2">
      <c r="A476" s="387" t="s">
        <v>534</v>
      </c>
      <c r="B476" s="362" t="s">
        <v>495</v>
      </c>
      <c r="C476" s="145"/>
      <c r="D476" s="136">
        <v>42.8</v>
      </c>
      <c r="E476" s="146"/>
    </row>
    <row r="477" spans="1:5" ht="12.75" customHeight="1" x14ac:dyDescent="0.2">
      <c r="A477" s="387" t="s">
        <v>535</v>
      </c>
      <c r="B477" s="362" t="s">
        <v>474</v>
      </c>
      <c r="C477" s="145"/>
      <c r="D477" s="136">
        <v>53.6</v>
      </c>
      <c r="E477" s="146"/>
    </row>
    <row r="478" spans="1:5" ht="12.75" customHeight="1" x14ac:dyDescent="0.2">
      <c r="A478" s="387" t="s">
        <v>536</v>
      </c>
      <c r="B478" s="362" t="s">
        <v>498</v>
      </c>
      <c r="C478" s="145"/>
      <c r="D478" s="136">
        <v>57.1</v>
      </c>
      <c r="E478" s="146"/>
    </row>
    <row r="479" spans="1:5" ht="12.75" customHeight="1" x14ac:dyDescent="0.2">
      <c r="A479" s="387" t="s">
        <v>537</v>
      </c>
      <c r="B479" s="362" t="s">
        <v>500</v>
      </c>
      <c r="C479" s="145"/>
      <c r="D479" s="136">
        <v>30.6</v>
      </c>
      <c r="E479" s="146"/>
    </row>
    <row r="480" spans="1:5" ht="12.75" customHeight="1" x14ac:dyDescent="0.2">
      <c r="A480" s="387" t="s">
        <v>538</v>
      </c>
      <c r="B480" s="362" t="s">
        <v>502</v>
      </c>
      <c r="C480" s="145"/>
      <c r="D480" s="136">
        <v>40</v>
      </c>
      <c r="E480" s="146"/>
    </row>
    <row r="481" spans="1:5" ht="12.75" customHeight="1" x14ac:dyDescent="0.2">
      <c r="A481" s="387" t="s">
        <v>539</v>
      </c>
      <c r="B481" s="371" t="s">
        <v>396</v>
      </c>
      <c r="C481" s="145" t="s">
        <v>540</v>
      </c>
      <c r="D481" s="136">
        <f>1159.1+20+50</f>
        <v>1229.0999999999999</v>
      </c>
      <c r="E481" s="146">
        <v>8.1</v>
      </c>
    </row>
    <row r="482" spans="1:5" ht="12.75" customHeight="1" x14ac:dyDescent="0.2">
      <c r="A482" s="387"/>
      <c r="B482" s="362" t="s">
        <v>168</v>
      </c>
      <c r="C482" s="145"/>
      <c r="D482" s="136"/>
      <c r="E482" s="146"/>
    </row>
    <row r="483" spans="1:5" ht="12.75" customHeight="1" x14ac:dyDescent="0.2">
      <c r="A483" s="387" t="s">
        <v>541</v>
      </c>
      <c r="B483" s="362" t="s">
        <v>483</v>
      </c>
      <c r="C483" s="145"/>
      <c r="D483" s="136">
        <f>12.8+1+1</f>
        <v>14.8</v>
      </c>
      <c r="E483" s="146"/>
    </row>
    <row r="484" spans="1:5" ht="12.75" customHeight="1" x14ac:dyDescent="0.2">
      <c r="A484" s="387" t="s">
        <v>542</v>
      </c>
      <c r="B484" s="362" t="s">
        <v>485</v>
      </c>
      <c r="C484" s="145"/>
      <c r="D484" s="136">
        <v>25.5</v>
      </c>
      <c r="E484" s="146"/>
    </row>
    <row r="485" spans="1:5" ht="12.75" customHeight="1" x14ac:dyDescent="0.2">
      <c r="A485" s="387" t="s">
        <v>543</v>
      </c>
      <c r="B485" s="362" t="s">
        <v>487</v>
      </c>
      <c r="C485" s="145"/>
      <c r="D485" s="136">
        <v>47.6</v>
      </c>
      <c r="E485" s="146"/>
    </row>
    <row r="486" spans="1:5" ht="12.75" customHeight="1" x14ac:dyDescent="0.2">
      <c r="A486" s="387" t="s">
        <v>544</v>
      </c>
      <c r="B486" s="362" t="s">
        <v>489</v>
      </c>
      <c r="C486" s="145"/>
      <c r="D486" s="136">
        <f>20.1+10</f>
        <v>30.1</v>
      </c>
      <c r="E486" s="146"/>
    </row>
    <row r="487" spans="1:5" ht="12.75" customHeight="1" x14ac:dyDescent="0.2">
      <c r="A487" s="387" t="s">
        <v>545</v>
      </c>
      <c r="B487" s="362" t="s">
        <v>491</v>
      </c>
      <c r="C487" s="145"/>
      <c r="D487" s="136">
        <f>127.4+20+50</f>
        <v>197.4</v>
      </c>
      <c r="E487" s="146"/>
    </row>
    <row r="488" spans="1:5" ht="12.75" customHeight="1" x14ac:dyDescent="0.2">
      <c r="A488" s="387" t="s">
        <v>546</v>
      </c>
      <c r="B488" s="362" t="s">
        <v>493</v>
      </c>
      <c r="C488" s="145"/>
      <c r="D488" s="136">
        <f>18.4+3</f>
        <v>21.4</v>
      </c>
      <c r="E488" s="146"/>
    </row>
    <row r="489" spans="1:5" ht="12.75" customHeight="1" x14ac:dyDescent="0.2">
      <c r="A489" s="387" t="s">
        <v>547</v>
      </c>
      <c r="B489" s="362" t="s">
        <v>495</v>
      </c>
      <c r="C489" s="145"/>
      <c r="D489" s="136">
        <f>50.6+2+1.5</f>
        <v>54.1</v>
      </c>
      <c r="E489" s="146"/>
    </row>
    <row r="490" spans="1:5" ht="12.75" customHeight="1" x14ac:dyDescent="0.2">
      <c r="A490" s="387" t="s">
        <v>548</v>
      </c>
      <c r="B490" s="362" t="s">
        <v>474</v>
      </c>
      <c r="C490" s="145"/>
      <c r="D490" s="136">
        <f>70.5+15+1.5</f>
        <v>87</v>
      </c>
      <c r="E490" s="146"/>
    </row>
    <row r="491" spans="1:5" ht="12.75" customHeight="1" x14ac:dyDescent="0.2">
      <c r="A491" s="387" t="s">
        <v>549</v>
      </c>
      <c r="B491" s="362" t="s">
        <v>498</v>
      </c>
      <c r="C491" s="145"/>
      <c r="D491" s="136">
        <f>50.8+1+1</f>
        <v>52.8</v>
      </c>
      <c r="E491" s="146"/>
    </row>
    <row r="492" spans="1:5" ht="12.75" customHeight="1" x14ac:dyDescent="0.2">
      <c r="A492" s="387" t="s">
        <v>550</v>
      </c>
      <c r="B492" s="362" t="s">
        <v>500</v>
      </c>
      <c r="C492" s="145"/>
      <c r="D492" s="136">
        <f>32.3+15</f>
        <v>47.3</v>
      </c>
      <c r="E492" s="146"/>
    </row>
    <row r="493" spans="1:5" ht="12.75" customHeight="1" x14ac:dyDescent="0.2">
      <c r="A493" s="387" t="s">
        <v>551</v>
      </c>
      <c r="B493" s="362" t="s">
        <v>502</v>
      </c>
      <c r="C493" s="145"/>
      <c r="D493" s="136">
        <f>44.1+5</f>
        <v>49.1</v>
      </c>
      <c r="E493" s="146"/>
    </row>
    <row r="494" spans="1:5" ht="36.75" customHeight="1" x14ac:dyDescent="0.2">
      <c r="A494" s="227" t="s">
        <v>552</v>
      </c>
      <c r="B494" s="170" t="s">
        <v>553</v>
      </c>
      <c r="C494" s="459" t="s">
        <v>348</v>
      </c>
      <c r="D494" s="136">
        <f>3427.8-420.4</f>
        <v>3007.4</v>
      </c>
      <c r="E494" s="146"/>
    </row>
    <row r="495" spans="1:5" ht="23.45" customHeight="1" x14ac:dyDescent="0.2">
      <c r="A495" s="227" t="s">
        <v>554</v>
      </c>
      <c r="B495" s="404" t="s">
        <v>411</v>
      </c>
      <c r="C495" s="459" t="s">
        <v>348</v>
      </c>
      <c r="D495" s="136">
        <v>433.4</v>
      </c>
      <c r="E495" s="146"/>
    </row>
    <row r="496" spans="1:5" ht="22.9" customHeight="1" x14ac:dyDescent="0.2">
      <c r="A496" s="227" t="s">
        <v>555</v>
      </c>
      <c r="B496" s="404" t="s">
        <v>411</v>
      </c>
      <c r="C496" s="459" t="s">
        <v>540</v>
      </c>
      <c r="D496" s="136">
        <v>554.5</v>
      </c>
      <c r="E496" s="146">
        <v>1.2</v>
      </c>
    </row>
    <row r="497" spans="1:5" ht="12.75" customHeight="1" x14ac:dyDescent="0.2">
      <c r="A497" s="227" t="s">
        <v>556</v>
      </c>
      <c r="B497" s="371" t="s">
        <v>178</v>
      </c>
      <c r="C497" s="459" t="s">
        <v>540</v>
      </c>
      <c r="D497" s="136">
        <v>5</v>
      </c>
      <c r="E497" s="146"/>
    </row>
    <row r="498" spans="1:5" ht="16.149999999999999" customHeight="1" x14ac:dyDescent="0.2">
      <c r="A498" s="140" t="s">
        <v>557</v>
      </c>
      <c r="B498" s="170" t="s">
        <v>509</v>
      </c>
      <c r="C498" s="459" t="s">
        <v>348</v>
      </c>
      <c r="D498" s="136">
        <v>120</v>
      </c>
      <c r="E498" s="146"/>
    </row>
    <row r="499" spans="1:5" ht="16.149999999999999" customHeight="1" x14ac:dyDescent="0.2">
      <c r="A499" s="140" t="s">
        <v>933</v>
      </c>
      <c r="B499" s="371" t="s">
        <v>178</v>
      </c>
      <c r="C499" s="461" t="s">
        <v>348</v>
      </c>
      <c r="D499" s="189">
        <v>1100</v>
      </c>
      <c r="E499" s="146"/>
    </row>
    <row r="500" spans="1:5" ht="24.75" customHeight="1" x14ac:dyDescent="0.2">
      <c r="A500" s="227" t="s">
        <v>558</v>
      </c>
      <c r="B500" s="443" t="s">
        <v>398</v>
      </c>
      <c r="C500" s="462" t="s">
        <v>399</v>
      </c>
      <c r="D500" s="175">
        <f>D502+D506+D507</f>
        <v>1709.6999999999998</v>
      </c>
      <c r="E500" s="192"/>
    </row>
    <row r="501" spans="1:5" ht="12.75" customHeight="1" x14ac:dyDescent="0.2">
      <c r="A501" s="387"/>
      <c r="B501" s="362" t="s">
        <v>478</v>
      </c>
      <c r="C501" s="462"/>
      <c r="D501" s="175"/>
      <c r="E501" s="146"/>
    </row>
    <row r="502" spans="1:5" ht="12.75" customHeight="1" x14ac:dyDescent="0.2">
      <c r="A502" s="387" t="s">
        <v>559</v>
      </c>
      <c r="B502" s="371" t="s">
        <v>396</v>
      </c>
      <c r="C502" s="462"/>
      <c r="D502" s="138">
        <f>1288.6+33-11.3-293.1</f>
        <v>1017.1999999999999</v>
      </c>
      <c r="E502" s="146"/>
    </row>
    <row r="503" spans="1:5" ht="12.75" customHeight="1" x14ac:dyDescent="0.2">
      <c r="A503" s="387"/>
      <c r="B503" s="362" t="s">
        <v>168</v>
      </c>
      <c r="C503" s="462"/>
      <c r="D503" s="138"/>
      <c r="E503" s="146"/>
    </row>
    <row r="504" spans="1:5" ht="12.75" customHeight="1" x14ac:dyDescent="0.2">
      <c r="A504" s="153" t="s">
        <v>560</v>
      </c>
      <c r="B504" s="448" t="s">
        <v>489</v>
      </c>
      <c r="C504" s="462"/>
      <c r="D504" s="138">
        <v>4</v>
      </c>
      <c r="E504" s="146"/>
    </row>
    <row r="505" spans="1:5" ht="12.75" customHeight="1" x14ac:dyDescent="0.2">
      <c r="A505" s="140" t="s">
        <v>763</v>
      </c>
      <c r="B505" s="327" t="s">
        <v>474</v>
      </c>
      <c r="C505" s="462"/>
      <c r="D505" s="138">
        <f>6+12</f>
        <v>18</v>
      </c>
      <c r="E505" s="146"/>
    </row>
    <row r="506" spans="1:5" ht="34.5" customHeight="1" x14ac:dyDescent="0.2">
      <c r="A506" s="227" t="s">
        <v>561</v>
      </c>
      <c r="B506" s="404" t="s">
        <v>411</v>
      </c>
      <c r="C506" s="462"/>
      <c r="D506" s="138">
        <v>135.5</v>
      </c>
      <c r="E506" s="146"/>
    </row>
    <row r="507" spans="1:5" ht="25.15" customHeight="1" x14ac:dyDescent="0.2">
      <c r="A507" s="227" t="s">
        <v>562</v>
      </c>
      <c r="B507" s="404" t="s">
        <v>54</v>
      </c>
      <c r="C507" s="462"/>
      <c r="D507" s="138">
        <f>957-400</f>
        <v>557</v>
      </c>
      <c r="E507" s="146"/>
    </row>
    <row r="508" spans="1:5" ht="12.75" customHeight="1" x14ac:dyDescent="0.2">
      <c r="A508" s="463" t="s">
        <v>564</v>
      </c>
      <c r="B508" s="388" t="s">
        <v>450</v>
      </c>
      <c r="C508" s="462"/>
      <c r="D508" s="173">
        <f>SUM(D510:D511)</f>
        <v>1211.9000000000001</v>
      </c>
      <c r="E508" s="174">
        <f>SUM(E510:E511)</f>
        <v>241.7</v>
      </c>
    </row>
    <row r="509" spans="1:5" ht="12.75" customHeight="1" x14ac:dyDescent="0.2">
      <c r="A509" s="464"/>
      <c r="B509" s="362" t="s">
        <v>478</v>
      </c>
      <c r="C509" s="462"/>
      <c r="D509" s="173"/>
      <c r="E509" s="146"/>
    </row>
    <row r="510" spans="1:5" ht="12.75" customHeight="1" x14ac:dyDescent="0.2">
      <c r="A510" s="463" t="s">
        <v>565</v>
      </c>
      <c r="B510" s="371" t="s">
        <v>396</v>
      </c>
      <c r="C510" s="462" t="s">
        <v>399</v>
      </c>
      <c r="D510" s="136">
        <f>420+500+300-340.8+143.7-140</f>
        <v>882.90000000000009</v>
      </c>
      <c r="E510" s="137"/>
    </row>
    <row r="511" spans="1:5" ht="17.25" customHeight="1" x14ac:dyDescent="0.2">
      <c r="A511" s="465" t="s">
        <v>566</v>
      </c>
      <c r="B511" s="371" t="s">
        <v>396</v>
      </c>
      <c r="C511" s="462" t="s">
        <v>170</v>
      </c>
      <c r="D511" s="136">
        <f>312+17</f>
        <v>329</v>
      </c>
      <c r="E511" s="146">
        <f>229+12.7</f>
        <v>241.7</v>
      </c>
    </row>
    <row r="512" spans="1:5" ht="25.5" customHeight="1" x14ac:dyDescent="0.2">
      <c r="A512" s="466" t="s">
        <v>567</v>
      </c>
      <c r="B512" s="443" t="s">
        <v>179</v>
      </c>
      <c r="C512" s="157"/>
      <c r="D512" s="205">
        <f>D514+D549+D553+D554+D567+D568+D569+D570+D571+D574+D595+D596</f>
        <v>10368.502</v>
      </c>
      <c r="E512" s="206">
        <f>E514+E549+E553+E554+E567+E568+E569+E570+E571+E574+E596</f>
        <v>6415.4629999999997</v>
      </c>
    </row>
    <row r="513" spans="1:6" ht="12.75" customHeight="1" x14ac:dyDescent="0.2">
      <c r="A513" s="464"/>
      <c r="B513" s="362" t="s">
        <v>478</v>
      </c>
      <c r="C513" s="157"/>
      <c r="D513" s="173"/>
      <c r="E513" s="146"/>
    </row>
    <row r="514" spans="1:6" ht="12.75" customHeight="1" x14ac:dyDescent="0.2">
      <c r="A514" s="463" t="s">
        <v>568</v>
      </c>
      <c r="B514" s="375"/>
      <c r="C514" s="145" t="s">
        <v>332</v>
      </c>
      <c r="D514" s="207">
        <f>D516+D517</f>
        <v>6718.8490000000002</v>
      </c>
      <c r="E514" s="137">
        <f>E516+E517</f>
        <v>3759.5000000000005</v>
      </c>
    </row>
    <row r="515" spans="1:6" ht="12.75" customHeight="1" x14ac:dyDescent="0.2">
      <c r="A515" s="464"/>
      <c r="B515" s="362" t="s">
        <v>168</v>
      </c>
      <c r="C515" s="157"/>
      <c r="D515" s="136"/>
      <c r="E515" s="146"/>
    </row>
    <row r="516" spans="1:6" ht="12.75" customHeight="1" x14ac:dyDescent="0.2">
      <c r="A516" s="463" t="s">
        <v>569</v>
      </c>
      <c r="B516" s="371" t="s">
        <v>570</v>
      </c>
      <c r="C516" s="157"/>
      <c r="D516" s="136">
        <v>445.9</v>
      </c>
      <c r="E516" s="146">
        <v>286.60000000000002</v>
      </c>
    </row>
    <row r="517" spans="1:6" ht="12.75" customHeight="1" x14ac:dyDescent="0.2">
      <c r="A517" s="463" t="s">
        <v>571</v>
      </c>
      <c r="B517" s="371" t="s">
        <v>162</v>
      </c>
      <c r="C517" s="157"/>
      <c r="D517" s="136">
        <f>D519+D532+D542+D548</f>
        <v>6272.9490000000005</v>
      </c>
      <c r="E517" s="137">
        <f>E519+E532+E542</f>
        <v>3472.9000000000005</v>
      </c>
    </row>
    <row r="518" spans="1:6" ht="12.75" customHeight="1" x14ac:dyDescent="0.2">
      <c r="A518" s="464"/>
      <c r="B518" s="362" t="s">
        <v>478</v>
      </c>
      <c r="C518" s="157"/>
      <c r="D518" s="216"/>
      <c r="E518" s="217"/>
    </row>
    <row r="519" spans="1:6" ht="12.75" customHeight="1" x14ac:dyDescent="0.2">
      <c r="A519" s="463" t="s">
        <v>572</v>
      </c>
      <c r="B519" s="371" t="s">
        <v>396</v>
      </c>
      <c r="C519" s="157"/>
      <c r="D519" s="136">
        <f>3055.2+127.4+195+30+1123.1+120+28.4+23.9+55.3+32.6+23+7.8+200+100+30+50+118+365.2+200+283-51.9</f>
        <v>6116</v>
      </c>
      <c r="E519" s="146">
        <f>2392.9+869.2+27.4+23+53.5+31.5</f>
        <v>3397.5000000000005</v>
      </c>
      <c r="F519" s="91"/>
    </row>
    <row r="520" spans="1:6" ht="12.75" customHeight="1" x14ac:dyDescent="0.2">
      <c r="A520" s="464"/>
      <c r="B520" s="362" t="s">
        <v>168</v>
      </c>
      <c r="C520" s="157"/>
      <c r="D520" s="136"/>
      <c r="E520" s="146"/>
    </row>
    <row r="521" spans="1:6" ht="12.75" customHeight="1" x14ac:dyDescent="0.2">
      <c r="A521" s="463" t="s">
        <v>573</v>
      </c>
      <c r="B521" s="362" t="s">
        <v>483</v>
      </c>
      <c r="C521" s="157"/>
      <c r="D521" s="136">
        <v>100.5</v>
      </c>
      <c r="E521" s="146">
        <v>74.099999999999994</v>
      </c>
      <c r="F521" s="91"/>
    </row>
    <row r="522" spans="1:6" ht="12.75" customHeight="1" x14ac:dyDescent="0.2">
      <c r="A522" s="463" t="s">
        <v>574</v>
      </c>
      <c r="B522" s="362" t="s">
        <v>485</v>
      </c>
      <c r="C522" s="157"/>
      <c r="D522" s="136">
        <v>99.9</v>
      </c>
      <c r="E522" s="146">
        <v>75</v>
      </c>
    </row>
    <row r="523" spans="1:6" ht="12.75" customHeight="1" x14ac:dyDescent="0.2">
      <c r="A523" s="463" t="s">
        <v>575</v>
      </c>
      <c r="B523" s="362" t="s">
        <v>487</v>
      </c>
      <c r="C523" s="157"/>
      <c r="D523" s="136">
        <v>114.6</v>
      </c>
      <c r="E523" s="146">
        <v>87.8</v>
      </c>
    </row>
    <row r="524" spans="1:6" ht="12.75" customHeight="1" x14ac:dyDescent="0.2">
      <c r="A524" s="463" t="s">
        <v>576</v>
      </c>
      <c r="B524" s="362" t="s">
        <v>489</v>
      </c>
      <c r="C524" s="157"/>
      <c r="D524" s="136">
        <v>89.9</v>
      </c>
      <c r="E524" s="146">
        <v>73.2</v>
      </c>
    </row>
    <row r="525" spans="1:6" ht="12.75" customHeight="1" x14ac:dyDescent="0.2">
      <c r="A525" s="463" t="s">
        <v>577</v>
      </c>
      <c r="B525" s="362" t="s">
        <v>491</v>
      </c>
      <c r="C525" s="157"/>
      <c r="D525" s="136">
        <f>77.5+21.7</f>
        <v>99.2</v>
      </c>
      <c r="E525" s="146">
        <f>70.6+21</f>
        <v>91.6</v>
      </c>
    </row>
    <row r="526" spans="1:6" ht="12.75" customHeight="1" x14ac:dyDescent="0.2">
      <c r="A526" s="463" t="s">
        <v>578</v>
      </c>
      <c r="B526" s="362" t="s">
        <v>493</v>
      </c>
      <c r="C526" s="157"/>
      <c r="D526" s="136">
        <v>94.5</v>
      </c>
      <c r="E526" s="146">
        <v>73.400000000000006</v>
      </c>
    </row>
    <row r="527" spans="1:6" ht="12.75" customHeight="1" x14ac:dyDescent="0.2">
      <c r="A527" s="463" t="s">
        <v>579</v>
      </c>
      <c r="B527" s="362" t="s">
        <v>495</v>
      </c>
      <c r="C527" s="157"/>
      <c r="D527" s="136">
        <v>90.7</v>
      </c>
      <c r="E527" s="146">
        <v>70</v>
      </c>
    </row>
    <row r="528" spans="1:6" ht="12.75" customHeight="1" x14ac:dyDescent="0.2">
      <c r="A528" s="463" t="s">
        <v>580</v>
      </c>
      <c r="B528" s="362" t="s">
        <v>474</v>
      </c>
      <c r="C528" s="157"/>
      <c r="D528" s="136">
        <f>107.2+10.9</f>
        <v>118.10000000000001</v>
      </c>
      <c r="E528" s="146">
        <f>81.7+10.5</f>
        <v>92.2</v>
      </c>
    </row>
    <row r="529" spans="1:5" ht="12.75" customHeight="1" x14ac:dyDescent="0.2">
      <c r="A529" s="463" t="s">
        <v>581</v>
      </c>
      <c r="B529" s="362" t="s">
        <v>498</v>
      </c>
      <c r="C529" s="157"/>
      <c r="D529" s="136">
        <v>140.1</v>
      </c>
      <c r="E529" s="146">
        <v>95.6</v>
      </c>
    </row>
    <row r="530" spans="1:5" ht="12.75" customHeight="1" x14ac:dyDescent="0.2">
      <c r="A530" s="463" t="s">
        <v>582</v>
      </c>
      <c r="B530" s="362" t="s">
        <v>500</v>
      </c>
      <c r="C530" s="157"/>
      <c r="D530" s="136">
        <v>96.4</v>
      </c>
      <c r="E530" s="146">
        <v>78.099999999999994</v>
      </c>
    </row>
    <row r="531" spans="1:5" ht="12.75" customHeight="1" x14ac:dyDescent="0.2">
      <c r="A531" s="463" t="s">
        <v>583</v>
      </c>
      <c r="B531" s="362" t="s">
        <v>502</v>
      </c>
      <c r="C531" s="157"/>
      <c r="D531" s="136">
        <v>111.8</v>
      </c>
      <c r="E531" s="146">
        <v>89.7</v>
      </c>
    </row>
    <row r="532" spans="1:5" ht="12.75" customHeight="1" x14ac:dyDescent="0.2">
      <c r="A532" s="463" t="s">
        <v>584</v>
      </c>
      <c r="B532" s="371" t="s">
        <v>585</v>
      </c>
      <c r="C532" s="457"/>
      <c r="D532" s="207">
        <f>1+17.4+8.5+33.1+0.2+9.8+0.4+8.9-0.026</f>
        <v>79.274000000000015</v>
      </c>
      <c r="E532" s="146">
        <f>1+14.5+8.4+32.6+9.7+0.4+8.8</f>
        <v>75.400000000000006</v>
      </c>
    </row>
    <row r="533" spans="1:5" ht="12.75" customHeight="1" x14ac:dyDescent="0.2">
      <c r="A533" s="464"/>
      <c r="B533" s="362" t="s">
        <v>168</v>
      </c>
      <c r="C533" s="457"/>
      <c r="D533" s="136"/>
      <c r="E533" s="146"/>
    </row>
    <row r="534" spans="1:5" ht="12.75" customHeight="1" x14ac:dyDescent="0.2">
      <c r="A534" s="463" t="s">
        <v>586</v>
      </c>
      <c r="B534" s="362" t="s">
        <v>483</v>
      </c>
      <c r="C534" s="457"/>
      <c r="D534" s="136">
        <v>0.3</v>
      </c>
      <c r="E534" s="146">
        <v>0.3</v>
      </c>
    </row>
    <row r="535" spans="1:5" ht="12.75" customHeight="1" x14ac:dyDescent="0.2">
      <c r="A535" s="463" t="s">
        <v>587</v>
      </c>
      <c r="B535" s="362" t="s">
        <v>485</v>
      </c>
      <c r="C535" s="457"/>
      <c r="D535" s="136">
        <v>1.2</v>
      </c>
      <c r="E535" s="146">
        <v>1.2</v>
      </c>
    </row>
    <row r="536" spans="1:5" ht="12.75" customHeight="1" x14ac:dyDescent="0.2">
      <c r="A536" s="463" t="s">
        <v>588</v>
      </c>
      <c r="B536" s="362" t="s">
        <v>489</v>
      </c>
      <c r="C536" s="457"/>
      <c r="D536" s="136">
        <v>0.3</v>
      </c>
      <c r="E536" s="146">
        <v>0.3</v>
      </c>
    </row>
    <row r="537" spans="1:5" ht="12.75" customHeight="1" x14ac:dyDescent="0.2">
      <c r="A537" s="463" t="s">
        <v>589</v>
      </c>
      <c r="B537" s="362" t="s">
        <v>493</v>
      </c>
      <c r="C537" s="457"/>
      <c r="D537" s="136">
        <v>0.2</v>
      </c>
      <c r="E537" s="146">
        <v>0.2</v>
      </c>
    </row>
    <row r="538" spans="1:5" ht="12.75" customHeight="1" x14ac:dyDescent="0.2">
      <c r="A538" s="463" t="s">
        <v>590</v>
      </c>
      <c r="B538" s="362" t="s">
        <v>495</v>
      </c>
      <c r="C538" s="457"/>
      <c r="D538" s="136">
        <v>1.3</v>
      </c>
      <c r="E538" s="146">
        <v>1.3</v>
      </c>
    </row>
    <row r="539" spans="1:5" ht="12.75" customHeight="1" x14ac:dyDescent="0.2">
      <c r="A539" s="463" t="s">
        <v>591</v>
      </c>
      <c r="B539" s="362" t="s">
        <v>498</v>
      </c>
      <c r="C539" s="457"/>
      <c r="D539" s="136">
        <v>3.6</v>
      </c>
      <c r="E539" s="146">
        <v>3.5</v>
      </c>
    </row>
    <row r="540" spans="1:5" ht="12.75" customHeight="1" x14ac:dyDescent="0.2">
      <c r="A540" s="463" t="s">
        <v>592</v>
      </c>
      <c r="B540" s="362" t="s">
        <v>500</v>
      </c>
      <c r="C540" s="457"/>
      <c r="D540" s="136">
        <v>0.5</v>
      </c>
      <c r="E540" s="146">
        <v>0.5</v>
      </c>
    </row>
    <row r="541" spans="1:5" ht="12.75" customHeight="1" x14ac:dyDescent="0.2">
      <c r="A541" s="463" t="s">
        <v>593</v>
      </c>
      <c r="B541" s="362" t="s">
        <v>502</v>
      </c>
      <c r="C541" s="457"/>
      <c r="D541" s="136">
        <v>1.5</v>
      </c>
      <c r="E541" s="146">
        <v>1.5</v>
      </c>
    </row>
    <row r="542" spans="1:5" ht="12.75" customHeight="1" x14ac:dyDescent="0.2">
      <c r="A542" s="463" t="s">
        <v>594</v>
      </c>
      <c r="B542" s="371" t="s">
        <v>178</v>
      </c>
      <c r="C542" s="157"/>
      <c r="D542" s="136">
        <v>55.1</v>
      </c>
      <c r="E542" s="146"/>
    </row>
    <row r="543" spans="1:5" ht="12.75" customHeight="1" x14ac:dyDescent="0.2">
      <c r="A543" s="464"/>
      <c r="B543" s="362" t="s">
        <v>168</v>
      </c>
      <c r="C543" s="157"/>
      <c r="D543" s="136"/>
      <c r="E543" s="146"/>
    </row>
    <row r="544" spans="1:5" ht="12.75" customHeight="1" x14ac:dyDescent="0.2">
      <c r="A544" s="463" t="s">
        <v>595</v>
      </c>
      <c r="B544" s="362" t="s">
        <v>485</v>
      </c>
      <c r="C544" s="157"/>
      <c r="D544" s="136">
        <v>0.4</v>
      </c>
      <c r="E544" s="146"/>
    </row>
    <row r="545" spans="1:5" ht="12.75" customHeight="1" x14ac:dyDescent="0.2">
      <c r="A545" s="463" t="s">
        <v>596</v>
      </c>
      <c r="B545" s="362" t="s">
        <v>493</v>
      </c>
      <c r="C545" s="157"/>
      <c r="D545" s="136">
        <v>0.3</v>
      </c>
      <c r="E545" s="146"/>
    </row>
    <row r="546" spans="1:5" ht="12.75" customHeight="1" x14ac:dyDescent="0.2">
      <c r="A546" s="463" t="s">
        <v>597</v>
      </c>
      <c r="B546" s="362" t="s">
        <v>495</v>
      </c>
      <c r="C546" s="157"/>
      <c r="D546" s="136">
        <v>1.3</v>
      </c>
      <c r="E546" s="146"/>
    </row>
    <row r="547" spans="1:5" ht="12.75" customHeight="1" x14ac:dyDescent="0.2">
      <c r="A547" s="463" t="s">
        <v>598</v>
      </c>
      <c r="B547" s="362" t="s">
        <v>500</v>
      </c>
      <c r="C547" s="157"/>
      <c r="D547" s="136">
        <v>1.7</v>
      </c>
      <c r="E547" s="146"/>
    </row>
    <row r="548" spans="1:5" ht="35.450000000000003" customHeight="1" x14ac:dyDescent="0.2">
      <c r="A548" s="143" t="s">
        <v>826</v>
      </c>
      <c r="B548" s="144" t="s">
        <v>775</v>
      </c>
      <c r="C548" s="157"/>
      <c r="D548" s="188">
        <v>22.574999999999999</v>
      </c>
      <c r="E548" s="154"/>
    </row>
    <row r="549" spans="1:5" ht="12.75" customHeight="1" x14ac:dyDescent="0.2">
      <c r="A549" s="463" t="s">
        <v>599</v>
      </c>
      <c r="B549" s="467"/>
      <c r="C549" s="145" t="s">
        <v>600</v>
      </c>
      <c r="D549" s="136">
        <f>D551+D552</f>
        <v>318.39999999999998</v>
      </c>
      <c r="E549" s="137">
        <f>E551+E552</f>
        <v>74.599999999999994</v>
      </c>
    </row>
    <row r="550" spans="1:5" ht="12.75" customHeight="1" x14ac:dyDescent="0.2">
      <c r="A550" s="463"/>
      <c r="B550" s="362" t="s">
        <v>168</v>
      </c>
      <c r="C550" s="145"/>
      <c r="D550" s="136"/>
      <c r="E550" s="146"/>
    </row>
    <row r="551" spans="1:5" ht="12.75" customHeight="1" x14ac:dyDescent="0.2">
      <c r="A551" s="463" t="s">
        <v>601</v>
      </c>
      <c r="B551" s="371" t="s">
        <v>459</v>
      </c>
      <c r="C551" s="157"/>
      <c r="D551" s="136">
        <f>31.5+43.3+226.4</f>
        <v>301.2</v>
      </c>
      <c r="E551" s="146">
        <f>21.9+36.8</f>
        <v>58.699999999999996</v>
      </c>
    </row>
    <row r="552" spans="1:5" ht="12.75" customHeight="1" x14ac:dyDescent="0.2">
      <c r="A552" s="463" t="s">
        <v>602</v>
      </c>
      <c r="B552" s="371" t="s">
        <v>396</v>
      </c>
      <c r="C552" s="157"/>
      <c r="D552" s="136">
        <f>4+13.2</f>
        <v>17.2</v>
      </c>
      <c r="E552" s="146">
        <f>3.4+12.5</f>
        <v>15.9</v>
      </c>
    </row>
    <row r="553" spans="1:5" ht="12.75" customHeight="1" x14ac:dyDescent="0.2">
      <c r="A553" s="463" t="s">
        <v>603</v>
      </c>
      <c r="B553" s="371" t="s">
        <v>396</v>
      </c>
      <c r="C553" s="459" t="s">
        <v>457</v>
      </c>
      <c r="D553" s="136">
        <f>49.2+90+12</f>
        <v>151.19999999999999</v>
      </c>
      <c r="E553" s="146"/>
    </row>
    <row r="554" spans="1:5" ht="12.75" customHeight="1" x14ac:dyDescent="0.2">
      <c r="A554" s="463" t="s">
        <v>604</v>
      </c>
      <c r="B554" s="371"/>
      <c r="C554" s="145" t="s">
        <v>348</v>
      </c>
      <c r="D554" s="207">
        <f>D556+D557+D566</f>
        <v>1551.4249999999997</v>
      </c>
      <c r="E554" s="137">
        <f>E556+E557+E566</f>
        <v>1429.1999999999998</v>
      </c>
    </row>
    <row r="555" spans="1:5" ht="12.75" customHeight="1" x14ac:dyDescent="0.2">
      <c r="A555" s="464"/>
      <c r="B555" s="362" t="s">
        <v>168</v>
      </c>
      <c r="C555" s="145"/>
      <c r="D555" s="136"/>
      <c r="E555" s="146"/>
    </row>
    <row r="556" spans="1:5" ht="12.75" customHeight="1" x14ac:dyDescent="0.2">
      <c r="A556" s="463" t="s">
        <v>605</v>
      </c>
      <c r="B556" s="371" t="s">
        <v>396</v>
      </c>
      <c r="C556" s="145"/>
      <c r="D556" s="136">
        <f>827.9+170.9+186.6+42+16+5</f>
        <v>1248.3999999999999</v>
      </c>
      <c r="E556" s="146">
        <f>810+167.4+182.2</f>
        <v>1159.5999999999999</v>
      </c>
    </row>
    <row r="557" spans="1:5" ht="12.75" customHeight="1" x14ac:dyDescent="0.2">
      <c r="A557" s="463" t="s">
        <v>606</v>
      </c>
      <c r="B557" s="371" t="s">
        <v>459</v>
      </c>
      <c r="C557" s="145"/>
      <c r="D557" s="207">
        <f>71.9+130.1+81+0.025</f>
        <v>283.02499999999998</v>
      </c>
      <c r="E557" s="146">
        <f>66.6+128+75</f>
        <v>269.60000000000002</v>
      </c>
    </row>
    <row r="558" spans="1:5" ht="12.75" customHeight="1" x14ac:dyDescent="0.2">
      <c r="A558" s="464"/>
      <c r="B558" s="362" t="s">
        <v>168</v>
      </c>
      <c r="C558" s="145"/>
      <c r="D558" s="136"/>
      <c r="E558" s="146"/>
    </row>
    <row r="559" spans="1:5" ht="12.75" customHeight="1" x14ac:dyDescent="0.2">
      <c r="A559" s="463" t="s">
        <v>607</v>
      </c>
      <c r="B559" s="362" t="s">
        <v>483</v>
      </c>
      <c r="C559" s="145"/>
      <c r="D559" s="136">
        <v>9.4</v>
      </c>
      <c r="E559" s="146">
        <v>9</v>
      </c>
    </row>
    <row r="560" spans="1:5" ht="12.75" customHeight="1" x14ac:dyDescent="0.2">
      <c r="A560" s="463" t="s">
        <v>608</v>
      </c>
      <c r="B560" s="362" t="s">
        <v>487</v>
      </c>
      <c r="C560" s="145"/>
      <c r="D560" s="136">
        <v>21.3</v>
      </c>
      <c r="E560" s="146">
        <v>21</v>
      </c>
    </row>
    <row r="561" spans="1:5" ht="12.75" customHeight="1" x14ac:dyDescent="0.2">
      <c r="A561" s="463" t="s">
        <v>609</v>
      </c>
      <c r="B561" s="362" t="s">
        <v>493</v>
      </c>
      <c r="C561" s="145"/>
      <c r="D561" s="136">
        <v>21.3</v>
      </c>
      <c r="E561" s="146">
        <v>21</v>
      </c>
    </row>
    <row r="562" spans="1:5" ht="12.75" customHeight="1" x14ac:dyDescent="0.2">
      <c r="A562" s="463" t="s">
        <v>610</v>
      </c>
      <c r="B562" s="362" t="s">
        <v>474</v>
      </c>
      <c r="C562" s="145"/>
      <c r="D562" s="136">
        <v>20.399999999999999</v>
      </c>
      <c r="E562" s="146">
        <v>20.100000000000001</v>
      </c>
    </row>
    <row r="563" spans="1:5" ht="12.75" customHeight="1" x14ac:dyDescent="0.2">
      <c r="A563" s="463" t="s">
        <v>611</v>
      </c>
      <c r="B563" s="362" t="s">
        <v>498</v>
      </c>
      <c r="C563" s="145"/>
      <c r="D563" s="136">
        <v>16</v>
      </c>
      <c r="E563" s="146">
        <v>15.8</v>
      </c>
    </row>
    <row r="564" spans="1:5" ht="12.75" customHeight="1" x14ac:dyDescent="0.2">
      <c r="A564" s="463" t="s">
        <v>612</v>
      </c>
      <c r="B564" s="362" t="s">
        <v>500</v>
      </c>
      <c r="C564" s="145"/>
      <c r="D564" s="136">
        <v>20.399999999999999</v>
      </c>
      <c r="E564" s="146">
        <v>20.100000000000001</v>
      </c>
    </row>
    <row r="565" spans="1:5" ht="12.75" customHeight="1" x14ac:dyDescent="0.2">
      <c r="A565" s="463" t="s">
        <v>613</v>
      </c>
      <c r="B565" s="362" t="s">
        <v>502</v>
      </c>
      <c r="C565" s="145"/>
      <c r="D565" s="136">
        <v>21.3</v>
      </c>
      <c r="E565" s="146">
        <v>21</v>
      </c>
    </row>
    <row r="566" spans="1:5" ht="12.75" customHeight="1" x14ac:dyDescent="0.2">
      <c r="A566" s="463" t="s">
        <v>614</v>
      </c>
      <c r="B566" s="371" t="s">
        <v>509</v>
      </c>
      <c r="C566" s="145"/>
      <c r="D566" s="136">
        <v>20</v>
      </c>
      <c r="E566" s="146"/>
    </row>
    <row r="567" spans="1:5" ht="12.75" customHeight="1" x14ac:dyDescent="0.2">
      <c r="A567" s="463" t="s">
        <v>615</v>
      </c>
      <c r="B567" s="371" t="s">
        <v>396</v>
      </c>
      <c r="C567" s="145" t="s">
        <v>477</v>
      </c>
      <c r="D567" s="136">
        <v>22.6</v>
      </c>
      <c r="E567" s="146">
        <v>21.7</v>
      </c>
    </row>
    <row r="568" spans="1:5" ht="12.75" customHeight="1" x14ac:dyDescent="0.2">
      <c r="A568" s="463" t="s">
        <v>616</v>
      </c>
      <c r="B568" s="371" t="s">
        <v>396</v>
      </c>
      <c r="C568" s="145" t="s">
        <v>540</v>
      </c>
      <c r="D568" s="136">
        <f>27.6+10+15</f>
        <v>52.6</v>
      </c>
      <c r="E568" s="146"/>
    </row>
    <row r="569" spans="1:5" ht="12.75" customHeight="1" x14ac:dyDescent="0.2">
      <c r="A569" s="463" t="s">
        <v>617</v>
      </c>
      <c r="B569" s="371" t="s">
        <v>396</v>
      </c>
      <c r="C569" s="145" t="s">
        <v>358</v>
      </c>
      <c r="D569" s="136">
        <v>100.2</v>
      </c>
      <c r="E569" s="146">
        <v>98.2</v>
      </c>
    </row>
    <row r="570" spans="1:5" ht="12.75" customHeight="1" x14ac:dyDescent="0.2">
      <c r="A570" s="143" t="s">
        <v>618</v>
      </c>
      <c r="B570" s="371" t="s">
        <v>396</v>
      </c>
      <c r="C570" s="468" t="s">
        <v>399</v>
      </c>
      <c r="D570" s="136">
        <f>55.5+300-230.6</f>
        <v>124.9</v>
      </c>
      <c r="E570" s="146">
        <v>54.2</v>
      </c>
    </row>
    <row r="571" spans="1:5" ht="12.75" customHeight="1" x14ac:dyDescent="0.2">
      <c r="A571" s="463" t="s">
        <v>619</v>
      </c>
      <c r="B571" s="371"/>
      <c r="C571" s="145" t="s">
        <v>170</v>
      </c>
      <c r="D571" s="136">
        <f>D572+D573</f>
        <v>312.56300000000005</v>
      </c>
      <c r="E571" s="137">
        <f>E572+E573</f>
        <v>256.8</v>
      </c>
    </row>
    <row r="572" spans="1:5" ht="12.75" customHeight="1" x14ac:dyDescent="0.2">
      <c r="A572" s="463" t="s">
        <v>620</v>
      </c>
      <c r="B572" s="371" t="s">
        <v>396</v>
      </c>
      <c r="C572" s="145"/>
      <c r="D572" s="136">
        <f>241.6+22+28</f>
        <v>291.60000000000002</v>
      </c>
      <c r="E572" s="146">
        <v>236.1</v>
      </c>
    </row>
    <row r="573" spans="1:5" ht="12.75" customHeight="1" x14ac:dyDescent="0.2">
      <c r="A573" s="466" t="s">
        <v>621</v>
      </c>
      <c r="B573" s="371" t="s">
        <v>459</v>
      </c>
      <c r="C573" s="145"/>
      <c r="D573" s="207">
        <f>21-0.037</f>
        <v>20.963000000000001</v>
      </c>
      <c r="E573" s="146">
        <v>20.7</v>
      </c>
    </row>
    <row r="574" spans="1:5" ht="12.75" customHeight="1" x14ac:dyDescent="0.2">
      <c r="A574" s="463" t="s">
        <v>622</v>
      </c>
      <c r="B574" s="371"/>
      <c r="C574" s="145" t="s">
        <v>104</v>
      </c>
      <c r="D574" s="207">
        <f>D576+D589+D590+D591+D592+D593+D594</f>
        <v>789.76499999999999</v>
      </c>
      <c r="E574" s="188">
        <f>E576+E589+E590+E591+E592+E593+E594</f>
        <v>721.26300000000003</v>
      </c>
    </row>
    <row r="575" spans="1:5" ht="12.75" customHeight="1" x14ac:dyDescent="0.2">
      <c r="A575" s="463"/>
      <c r="B575" s="362" t="s">
        <v>168</v>
      </c>
      <c r="C575" s="145"/>
      <c r="D575" s="136"/>
      <c r="E575" s="146"/>
    </row>
    <row r="576" spans="1:5" ht="12.75" customHeight="1" x14ac:dyDescent="0.2">
      <c r="A576" s="463" t="s">
        <v>623</v>
      </c>
      <c r="B576" s="371" t="s">
        <v>396</v>
      </c>
      <c r="C576" s="145"/>
      <c r="D576" s="136">
        <f>6.6+319.4+322.2+31.5</f>
        <v>679.7</v>
      </c>
      <c r="E576" s="146">
        <f>6+312.1+294.7</f>
        <v>612.79999999999995</v>
      </c>
    </row>
    <row r="577" spans="1:5" ht="12.75" customHeight="1" x14ac:dyDescent="0.2">
      <c r="A577" s="463"/>
      <c r="B577" s="362" t="s">
        <v>168</v>
      </c>
      <c r="C577" s="145"/>
      <c r="D577" s="136"/>
      <c r="E577" s="146"/>
    </row>
    <row r="578" spans="1:5" ht="12.75" customHeight="1" x14ac:dyDescent="0.2">
      <c r="A578" s="463" t="s">
        <v>624</v>
      </c>
      <c r="B578" s="362" t="s">
        <v>483</v>
      </c>
      <c r="C578" s="145"/>
      <c r="D578" s="136">
        <v>22.5</v>
      </c>
      <c r="E578" s="146">
        <v>20.6</v>
      </c>
    </row>
    <row r="579" spans="1:5" ht="12.75" customHeight="1" x14ac:dyDescent="0.2">
      <c r="A579" s="463" t="s">
        <v>625</v>
      </c>
      <c r="B579" s="362" t="s">
        <v>485</v>
      </c>
      <c r="C579" s="145"/>
      <c r="D579" s="136">
        <v>25.3</v>
      </c>
      <c r="E579" s="146">
        <v>23.3</v>
      </c>
    </row>
    <row r="580" spans="1:5" ht="12.75" customHeight="1" x14ac:dyDescent="0.2">
      <c r="A580" s="463" t="s">
        <v>626</v>
      </c>
      <c r="B580" s="362" t="s">
        <v>487</v>
      </c>
      <c r="C580" s="145"/>
      <c r="D580" s="136">
        <v>24.5</v>
      </c>
      <c r="E580" s="146">
        <v>22.5</v>
      </c>
    </row>
    <row r="581" spans="1:5" ht="12.75" customHeight="1" x14ac:dyDescent="0.2">
      <c r="A581" s="463" t="s">
        <v>627</v>
      </c>
      <c r="B581" s="362" t="s">
        <v>489</v>
      </c>
      <c r="C581" s="145"/>
      <c r="D581" s="136">
        <v>24.5</v>
      </c>
      <c r="E581" s="146">
        <v>22.5</v>
      </c>
    </row>
    <row r="582" spans="1:5" ht="12.75" customHeight="1" x14ac:dyDescent="0.2">
      <c r="A582" s="463" t="s">
        <v>628</v>
      </c>
      <c r="B582" s="362" t="s">
        <v>491</v>
      </c>
      <c r="C582" s="145"/>
      <c r="D582" s="136">
        <v>57.3</v>
      </c>
      <c r="E582" s="146">
        <v>54.7</v>
      </c>
    </row>
    <row r="583" spans="1:5" ht="12.75" customHeight="1" x14ac:dyDescent="0.2">
      <c r="A583" s="463" t="s">
        <v>629</v>
      </c>
      <c r="B583" s="362" t="s">
        <v>493</v>
      </c>
      <c r="C583" s="145"/>
      <c r="D583" s="136">
        <v>12.8</v>
      </c>
      <c r="E583" s="146">
        <v>11.3</v>
      </c>
    </row>
    <row r="584" spans="1:5" ht="12.75" customHeight="1" x14ac:dyDescent="0.2">
      <c r="A584" s="463" t="s">
        <v>630</v>
      </c>
      <c r="B584" s="362" t="s">
        <v>495</v>
      </c>
      <c r="C584" s="145"/>
      <c r="D584" s="136">
        <v>24.5</v>
      </c>
      <c r="E584" s="146">
        <v>22.5</v>
      </c>
    </row>
    <row r="585" spans="1:5" ht="12.75" customHeight="1" x14ac:dyDescent="0.2">
      <c r="A585" s="463" t="s">
        <v>631</v>
      </c>
      <c r="B585" s="362" t="s">
        <v>474</v>
      </c>
      <c r="C585" s="145"/>
      <c r="D585" s="136">
        <v>55.7</v>
      </c>
      <c r="E585" s="146">
        <v>48.2</v>
      </c>
    </row>
    <row r="586" spans="1:5" ht="12.75" customHeight="1" x14ac:dyDescent="0.2">
      <c r="A586" s="463" t="s">
        <v>632</v>
      </c>
      <c r="B586" s="362" t="s">
        <v>498</v>
      </c>
      <c r="C586" s="145"/>
      <c r="D586" s="136">
        <v>25.3</v>
      </c>
      <c r="E586" s="146">
        <v>23.3</v>
      </c>
    </row>
    <row r="587" spans="1:5" ht="12.75" customHeight="1" x14ac:dyDescent="0.2">
      <c r="A587" s="463" t="s">
        <v>633</v>
      </c>
      <c r="B587" s="362" t="s">
        <v>500</v>
      </c>
      <c r="C587" s="145"/>
      <c r="D587" s="136">
        <v>24.5</v>
      </c>
      <c r="E587" s="146">
        <v>22.5</v>
      </c>
    </row>
    <row r="588" spans="1:5" ht="12.75" customHeight="1" x14ac:dyDescent="0.2">
      <c r="A588" s="463" t="s">
        <v>634</v>
      </c>
      <c r="B588" s="362" t="s">
        <v>502</v>
      </c>
      <c r="C588" s="145"/>
      <c r="D588" s="136">
        <v>25.3</v>
      </c>
      <c r="E588" s="146">
        <v>23.3</v>
      </c>
    </row>
    <row r="589" spans="1:5" ht="12.75" customHeight="1" x14ac:dyDescent="0.2">
      <c r="A589" s="463" t="s">
        <v>635</v>
      </c>
      <c r="B589" s="371" t="s">
        <v>459</v>
      </c>
      <c r="C589" s="145"/>
      <c r="D589" s="136">
        <f>27.2+6.9+27.1+31.5+4.4</f>
        <v>97.100000000000009</v>
      </c>
      <c r="E589" s="146">
        <f>26.8+6.8+26.7+31+4.4</f>
        <v>95.7</v>
      </c>
    </row>
    <row r="590" spans="1:5" ht="24" customHeight="1" x14ac:dyDescent="0.2">
      <c r="A590" s="463" t="s">
        <v>636</v>
      </c>
      <c r="B590" s="170" t="s">
        <v>637</v>
      </c>
      <c r="C590" s="145"/>
      <c r="D590" s="136">
        <v>0.5</v>
      </c>
      <c r="E590" s="146">
        <v>0.5</v>
      </c>
    </row>
    <row r="591" spans="1:5" ht="15" customHeight="1" x14ac:dyDescent="0.2">
      <c r="A591" s="143" t="s">
        <v>794</v>
      </c>
      <c r="B591" s="144" t="s">
        <v>795</v>
      </c>
      <c r="C591" s="145"/>
      <c r="D591" s="207">
        <f>3.2-0.032+0.7</f>
        <v>3.8680000000000003</v>
      </c>
      <c r="E591" s="218">
        <f>3.1+0.69</f>
        <v>3.79</v>
      </c>
    </row>
    <row r="592" spans="1:5" ht="15" customHeight="1" x14ac:dyDescent="0.2">
      <c r="A592" s="143" t="s">
        <v>824</v>
      </c>
      <c r="B592" s="144" t="s">
        <v>822</v>
      </c>
      <c r="C592" s="145"/>
      <c r="D592" s="207">
        <v>1.5880000000000001</v>
      </c>
      <c r="E592" s="218">
        <v>1.5649999999999999</v>
      </c>
    </row>
    <row r="593" spans="1:8" ht="34.15" customHeight="1" x14ac:dyDescent="0.2">
      <c r="A593" s="143" t="s">
        <v>825</v>
      </c>
      <c r="B593" s="144" t="s">
        <v>823</v>
      </c>
      <c r="C593" s="145"/>
      <c r="D593" s="207">
        <v>5.2089999999999996</v>
      </c>
      <c r="E593" s="218">
        <v>5.1340000000000003</v>
      </c>
    </row>
    <row r="594" spans="1:8" ht="36" customHeight="1" x14ac:dyDescent="0.2">
      <c r="A594" s="470" t="s">
        <v>935</v>
      </c>
      <c r="B594" s="334" t="s">
        <v>872</v>
      </c>
      <c r="C594" s="225"/>
      <c r="D594" s="136">
        <f>0.3+1.5</f>
        <v>1.8</v>
      </c>
      <c r="E594" s="218">
        <f>0.296+1.478</f>
        <v>1.774</v>
      </c>
    </row>
    <row r="595" spans="1:8" ht="10.5" customHeight="1" x14ac:dyDescent="0.2">
      <c r="A595" s="143" t="s">
        <v>638</v>
      </c>
      <c r="B595" s="144" t="s">
        <v>785</v>
      </c>
      <c r="C595" s="468" t="s">
        <v>332</v>
      </c>
      <c r="D595" s="136">
        <v>6</v>
      </c>
      <c r="E595" s="146"/>
    </row>
    <row r="596" spans="1:8" ht="12.75" customHeight="1" thickBot="1" x14ac:dyDescent="0.25">
      <c r="A596" s="465" t="s">
        <v>784</v>
      </c>
      <c r="B596" s="469" t="s">
        <v>639</v>
      </c>
      <c r="C596" s="461" t="s">
        <v>332</v>
      </c>
      <c r="D596" s="136">
        <v>220</v>
      </c>
      <c r="E596" s="219"/>
    </row>
    <row r="597" spans="1:8" ht="12.75" customHeight="1" thickBot="1" x14ac:dyDescent="0.25">
      <c r="A597" s="58" t="s">
        <v>640</v>
      </c>
      <c r="B597" s="59" t="s">
        <v>641</v>
      </c>
      <c r="C597" s="60"/>
      <c r="D597" s="474">
        <f>SUM(D9+D19+D30+D42+D52+D63+D74+D83+D93+D103+D113+D123+D137+D147+D157+D166+D176+D186+D196+D206+D216+D225+D234+D245+D252+D260+D269+D280+D290+D300+D311+D316+D326+D335+D343+D351+D359+D367+D375+D383+D394+D400+D404)</f>
        <v>92810.132999999987</v>
      </c>
      <c r="E597" s="475">
        <f>SUM(E9+E19+E30+E42+E52+E63+E74+E83+E93+E103+E113+E123+E137+E147+E157+E166+E176+E186+E196+E206+E216+E225+E234+E245+E252+E260+E269+E280+E290+E300+E311+E316+E326+E335+E343+E351+E359+E367+E375+E383+E394+E400+E404)</f>
        <v>47975.262999999992</v>
      </c>
      <c r="F597" s="22"/>
      <c r="G597" s="492">
        <f>SUM(D599:D630)</f>
        <v>92810.132999999973</v>
      </c>
      <c r="H597" s="492">
        <f>SUM(E599:E630)</f>
        <v>47975.262999999984</v>
      </c>
    </row>
    <row r="598" spans="1:8" ht="12.75" customHeight="1" x14ac:dyDescent="0.2">
      <c r="A598" s="61"/>
      <c r="B598" s="62" t="s">
        <v>168</v>
      </c>
      <c r="C598" s="63"/>
      <c r="D598" s="220"/>
      <c r="E598" s="221"/>
    </row>
    <row r="599" spans="1:8" ht="12.75" customHeight="1" x14ac:dyDescent="0.2">
      <c r="A599" s="64" t="s">
        <v>642</v>
      </c>
      <c r="B599" s="115" t="s">
        <v>396</v>
      </c>
      <c r="C599" s="65"/>
      <c r="D599" s="137">
        <f>D12+D18+D22+D29+D33+D39+D41+D45+D51+D55+D62+D66+D72+D73+D77+D82+D86+D92+D96+D102+D106+D112+D116+D122+D126+D132+D136+D140+D146+D325+D150+D156+D160+D165+D169+D175+D179+D185+D189+D195+D199+D205+D209+D215+D219+D224+D228+D233+D237+D243+D248+D251+D255+D259+D263+D268+D272+D279+D283+D289+D293+D299+D303+D310+D319+D324+D329+D334+D338+D342+D346+D350+D354+D358+D362+D366+D370+D374+D378+D382+D386+D390+D391+D393+D397+D403+D407+D416+D426+D447+D453+D454+D468+D481+D502+D510+D511+D516+D519+D552+D553+D556+D567+D568+D569+D570+D572+D576+D595+D596</f>
        <v>53103.999999999985</v>
      </c>
      <c r="E599" s="228">
        <f>E12+E18+E22+E29+E33+E39+E41+E45+E51+E55+E62+E66+E72+E73+E77+E82+E86+E92+E96+E102+E106+E112+E116+E122+E126+E132+E136+E140+E146+E325+E150+E156+E160+E165+E169+E175+E179+E185+E189+E195+E199+E205+E209+E215+E219+E224+E228+E233+E237+E243+E248+E251+E255+E259+E263+E268+E272+E279+E283+E289+E293+E299+E303+E310+E319+E324+E329+E334+E338+E342+E346+E350+E354+E358+E362+E366+E370+E374+E378+E382+E386+E390+E391+E393+E397+E403+E407+E416+E426+E447+E453+E454+E468+E481+E502+E510+E511+E516+E519+E552+E553+E556+E567+E568+E569+E570+E572+E576+E595+E596</f>
        <v>27313.811999999991</v>
      </c>
      <c r="F599" s="91"/>
      <c r="G599" s="492">
        <f>D632+D646+D655+D666+D675+D696+D706+D714+D720</f>
        <v>92810.133000000016</v>
      </c>
      <c r="H599" s="492">
        <f>E632+E646+E655+E666+E675+E696+E706+E714+E720</f>
        <v>47975.262999999999</v>
      </c>
    </row>
    <row r="600" spans="1:8" ht="13.15" customHeight="1" x14ac:dyDescent="0.2">
      <c r="A600" s="64" t="s">
        <v>643</v>
      </c>
      <c r="B600" s="104" t="s">
        <v>174</v>
      </c>
      <c r="C600" s="65"/>
      <c r="D600" s="137">
        <f>SUM(D13+D23+D34+D46+D56+D67+D78+D87+D97+D107+D117+D127+D141+D151+D161+D170+D180+D190+D200+D210+D220+D229+D249+D408)</f>
        <v>17270.800000000003</v>
      </c>
      <c r="E600" s="150">
        <f>SUM(E13+E23+E34+E46+E56+E67+E78+E87+E97+E107+E117+E127+E141+E151+E161+E170+E180+E190+E200+E210+E220+E229+E249+E408)</f>
        <v>15941.6</v>
      </c>
    </row>
    <row r="601" spans="1:8" ht="12.75" customHeight="1" x14ac:dyDescent="0.2">
      <c r="A601" s="64" t="s">
        <v>644</v>
      </c>
      <c r="B601" s="115" t="s">
        <v>361</v>
      </c>
      <c r="C601" s="65"/>
      <c r="D601" s="207">
        <f>D273+D294+D398+D421+D455+D532+D551+D557+D573+D589</f>
        <v>5354.9619999999995</v>
      </c>
      <c r="E601" s="150">
        <f>E273+E294+E398+E421+E455+E532+E551+E557+E573+E589</f>
        <v>2331.2999999999997</v>
      </c>
    </row>
    <row r="602" spans="1:8" ht="15" customHeight="1" x14ac:dyDescent="0.2">
      <c r="A602" s="66" t="s">
        <v>645</v>
      </c>
      <c r="B602" s="102" t="s">
        <v>646</v>
      </c>
      <c r="C602" s="65"/>
      <c r="D602" s="136">
        <f>D314</f>
        <v>294.7</v>
      </c>
      <c r="E602" s="150">
        <f>E314</f>
        <v>271.2</v>
      </c>
    </row>
    <row r="603" spans="1:8" ht="23.45" customHeight="1" x14ac:dyDescent="0.2">
      <c r="A603" s="66" t="s">
        <v>647</v>
      </c>
      <c r="B603" s="102" t="s">
        <v>182</v>
      </c>
      <c r="C603" s="65"/>
      <c r="D603" s="136">
        <f>D24+D57</f>
        <v>94.8</v>
      </c>
      <c r="E603" s="150">
        <f>E24+E57</f>
        <v>93.5</v>
      </c>
    </row>
    <row r="604" spans="1:8" ht="23.45" customHeight="1" x14ac:dyDescent="0.2">
      <c r="A604" s="66" t="s">
        <v>648</v>
      </c>
      <c r="B604" s="116" t="s">
        <v>649</v>
      </c>
      <c r="C604" s="65"/>
      <c r="D604" s="136">
        <f>D409</f>
        <v>269.89999999999998</v>
      </c>
      <c r="E604" s="150">
        <f>E409</f>
        <v>8</v>
      </c>
    </row>
    <row r="605" spans="1:8" ht="36" customHeight="1" x14ac:dyDescent="0.2">
      <c r="A605" s="66" t="s">
        <v>650</v>
      </c>
      <c r="B605" s="37" t="s">
        <v>553</v>
      </c>
      <c r="C605" s="65"/>
      <c r="D605" s="136">
        <f>D494</f>
        <v>3007.4</v>
      </c>
      <c r="E605" s="150"/>
    </row>
    <row r="606" spans="1:8" ht="33.75" customHeight="1" x14ac:dyDescent="0.2">
      <c r="A606" s="66" t="s">
        <v>651</v>
      </c>
      <c r="B606" s="102" t="s">
        <v>652</v>
      </c>
      <c r="C606" s="65"/>
      <c r="D606" s="136">
        <f>D444</f>
        <v>13.9</v>
      </c>
      <c r="E606" s="150"/>
    </row>
    <row r="607" spans="1:8" ht="12.75" customHeight="1" x14ac:dyDescent="0.2">
      <c r="A607" s="64" t="s">
        <v>653</v>
      </c>
      <c r="B607" s="115" t="s">
        <v>178</v>
      </c>
      <c r="C607" s="65"/>
      <c r="D607" s="136">
        <f>SUM(D15+D26+D36+D48+D59+D69+D79+D89+D99+D109+D119+D129+D143+D153+D163+D172+D182+D192+D202+D212+D221+D230+D238+D257+D266+D275+D285+D296+D305+D315+D322+D331+D340+D348+D356+D364+D372+D380+D388+D399+D439+D456+D497+D499+D542)</f>
        <v>4411.7000000000007</v>
      </c>
      <c r="E607" s="150">
        <f>SUM(E15+E26+E36+E48+E59+E69+E79+E89+E99+E109+E119+E129+E143+E153+E163+E172+E182+E192+E202+E212+E221+E230+E238+E257+E266+E275+E285+E296+E305+E315+E322+E331+E340+E348+E356+E364+E372+E380+E388+E399+E439+E456+E497+E542)</f>
        <v>1338.7</v>
      </c>
    </row>
    <row r="608" spans="1:8" ht="14.25" customHeight="1" x14ac:dyDescent="0.2">
      <c r="A608" s="66" t="s">
        <v>654</v>
      </c>
      <c r="B608" s="117" t="s">
        <v>480</v>
      </c>
      <c r="C608" s="65"/>
      <c r="D608" s="136">
        <f>D241+D277+D425+D448</f>
        <v>423.9</v>
      </c>
      <c r="E608" s="150"/>
    </row>
    <row r="609" spans="1:5" ht="12" customHeight="1" x14ac:dyDescent="0.2">
      <c r="A609" s="67" t="s">
        <v>655</v>
      </c>
      <c r="B609" s="49" t="s">
        <v>509</v>
      </c>
      <c r="C609" s="65"/>
      <c r="D609" s="136">
        <f>D498+D566</f>
        <v>140</v>
      </c>
      <c r="E609" s="150"/>
    </row>
    <row r="610" spans="1:5" ht="35.450000000000003" customHeight="1" x14ac:dyDescent="0.2">
      <c r="A610" s="66" t="s">
        <v>656</v>
      </c>
      <c r="B610" s="37" t="s">
        <v>657</v>
      </c>
      <c r="C610" s="68"/>
      <c r="D610" s="136">
        <f>D264+D276+D332+D410+D422+D442+D449+D457+D495+D496+D506</f>
        <v>3342</v>
      </c>
      <c r="E610" s="150">
        <f>E264+E276+E332+E410+E422+E442+E449+E457+E495+E496+E506</f>
        <v>109.5</v>
      </c>
    </row>
    <row r="611" spans="1:5" ht="24.75" customHeight="1" x14ac:dyDescent="0.2">
      <c r="A611" s="66" t="s">
        <v>658</v>
      </c>
      <c r="B611" s="37" t="s">
        <v>507</v>
      </c>
      <c r="C611" s="68"/>
      <c r="D611" s="154">
        <f>D443</f>
        <v>2500</v>
      </c>
      <c r="E611" s="150"/>
    </row>
    <row r="612" spans="1:5" ht="13.5" customHeight="1" x14ac:dyDescent="0.2">
      <c r="A612" s="66" t="s">
        <v>659</v>
      </c>
      <c r="B612" s="37" t="s">
        <v>760</v>
      </c>
      <c r="C612" s="68"/>
      <c r="D612" s="154">
        <f>D445</f>
        <v>52.1</v>
      </c>
      <c r="E612" s="150"/>
    </row>
    <row r="613" spans="1:5" ht="26.45" customHeight="1" x14ac:dyDescent="0.2">
      <c r="A613" s="66" t="s">
        <v>660</v>
      </c>
      <c r="B613" s="170" t="s">
        <v>637</v>
      </c>
      <c r="C613" s="68"/>
      <c r="D613" s="154">
        <f>D459+D590+D287+D307</f>
        <v>34.200000000000003</v>
      </c>
      <c r="E613" s="476">
        <f>E459+E590+E287+E307</f>
        <v>30</v>
      </c>
    </row>
    <row r="614" spans="1:5" ht="24" x14ac:dyDescent="0.2">
      <c r="A614" s="114" t="s">
        <v>767</v>
      </c>
      <c r="B614" s="104" t="s">
        <v>764</v>
      </c>
      <c r="C614" s="68"/>
      <c r="D614" s="188">
        <f>D321</f>
        <v>77.647999999999996</v>
      </c>
      <c r="E614" s="150"/>
    </row>
    <row r="615" spans="1:5" ht="25.15" customHeight="1" x14ac:dyDescent="0.2">
      <c r="A615" s="114" t="s">
        <v>768</v>
      </c>
      <c r="B615" s="104" t="s">
        <v>54</v>
      </c>
      <c r="C615" s="68"/>
      <c r="D615" s="137">
        <f>D411+D507</f>
        <v>907</v>
      </c>
      <c r="E615" s="150"/>
    </row>
    <row r="616" spans="1:5" ht="15.75" customHeight="1" x14ac:dyDescent="0.2">
      <c r="A616" s="114" t="s">
        <v>661</v>
      </c>
      <c r="B616" s="104" t="s">
        <v>188</v>
      </c>
      <c r="C616" s="68"/>
      <c r="D616" s="137">
        <f>D14+D25+D133+D35+D47+D58+D68+D88+D98+D108+D118+D128+D142+D152+D162+D171+D181+D191+D201+D211+D222+D231+D244+D256+D265+D274+D284+D295+D304+D320+D330+D339+D347+D355+D363+D371+D379+D387</f>
        <v>296.00000000000006</v>
      </c>
      <c r="E616" s="150">
        <f>E14+E25+E133+E35+E47+E58+E68+E88+E98+E108+E118+E128+E142+E152+E162+E171+E181+E191+E201+E211+E222+E231+E244+E256+E265+E274+E284+E295+E304+E320+E330+E339+E347+E355+E363+E371+E379+E387</f>
        <v>293.10000000000002</v>
      </c>
    </row>
    <row r="617" spans="1:5" ht="36.6" customHeight="1" x14ac:dyDescent="0.2">
      <c r="A617" s="114" t="s">
        <v>780</v>
      </c>
      <c r="B617" s="45" t="s">
        <v>775</v>
      </c>
      <c r="C617" s="68"/>
      <c r="D617" s="188">
        <f>D450+D548</f>
        <v>22.574999999999999</v>
      </c>
      <c r="E617" s="150"/>
    </row>
    <row r="618" spans="1:5" ht="33" customHeight="1" x14ac:dyDescent="0.2">
      <c r="A618" s="114" t="s">
        <v>781</v>
      </c>
      <c r="B618" s="30" t="s">
        <v>761</v>
      </c>
      <c r="C618" s="68"/>
      <c r="D618" s="137">
        <f>D458</f>
        <v>125.3</v>
      </c>
      <c r="E618" s="150"/>
    </row>
    <row r="619" spans="1:5" ht="15" customHeight="1" x14ac:dyDescent="0.2">
      <c r="A619" s="147" t="s">
        <v>782</v>
      </c>
      <c r="B619" s="148" t="s">
        <v>795</v>
      </c>
      <c r="C619" s="149"/>
      <c r="D619" s="188">
        <f>D460+D591</f>
        <v>198.38499999999999</v>
      </c>
      <c r="E619" s="477">
        <f>E460+E591</f>
        <v>3.79</v>
      </c>
    </row>
    <row r="620" spans="1:5" ht="33.75" customHeight="1" x14ac:dyDescent="0.2">
      <c r="A620" s="114" t="s">
        <v>793</v>
      </c>
      <c r="B620" s="30" t="s">
        <v>524</v>
      </c>
      <c r="C620" s="68"/>
      <c r="D620" s="188">
        <f>D461</f>
        <v>44.606000000000002</v>
      </c>
      <c r="E620" s="150">
        <f>E461</f>
        <v>0.8</v>
      </c>
    </row>
    <row r="621" spans="1:5" ht="19.149999999999999" customHeight="1" x14ac:dyDescent="0.2">
      <c r="A621" s="114" t="s">
        <v>827</v>
      </c>
      <c r="B621" s="159" t="s">
        <v>822</v>
      </c>
      <c r="C621" s="158"/>
      <c r="D621" s="188">
        <f>D592+D462</f>
        <v>41.286000000000001</v>
      </c>
      <c r="E621" s="228">
        <f>E592+E462</f>
        <v>1.5649999999999999</v>
      </c>
    </row>
    <row r="622" spans="1:5" ht="36" customHeight="1" x14ac:dyDescent="0.2">
      <c r="A622" s="114" t="s">
        <v>828</v>
      </c>
      <c r="B622" s="159" t="s">
        <v>823</v>
      </c>
      <c r="C622" s="158"/>
      <c r="D622" s="188">
        <f>D593+D463</f>
        <v>109.387</v>
      </c>
      <c r="E622" s="228">
        <f>E593+E463</f>
        <v>5.1340000000000003</v>
      </c>
    </row>
    <row r="623" spans="1:5" ht="34.9" customHeight="1" x14ac:dyDescent="0.2">
      <c r="A623" s="114" t="s">
        <v>829</v>
      </c>
      <c r="B623" s="160" t="s">
        <v>810</v>
      </c>
      <c r="C623" s="158"/>
      <c r="D623" s="156">
        <f>D134+D286+D297+D306</f>
        <v>144.88999999999999</v>
      </c>
      <c r="E623" s="477">
        <f>E134+E286+E297+E306</f>
        <v>142.59</v>
      </c>
    </row>
    <row r="624" spans="1:5" ht="25.9" customHeight="1" x14ac:dyDescent="0.2">
      <c r="A624" s="114" t="s">
        <v>830</v>
      </c>
      <c r="B624" s="160" t="s">
        <v>817</v>
      </c>
      <c r="C624" s="68"/>
      <c r="D624" s="188">
        <f>D308</f>
        <v>14.795</v>
      </c>
      <c r="E624" s="228">
        <f>E308</f>
        <v>14.574</v>
      </c>
    </row>
    <row r="625" spans="1:8" ht="24.6" customHeight="1" x14ac:dyDescent="0.2">
      <c r="A625" s="147" t="s">
        <v>861</v>
      </c>
      <c r="B625" s="241" t="s">
        <v>859</v>
      </c>
      <c r="C625" s="242"/>
      <c r="D625" s="207">
        <f>D412</f>
        <v>36.628999999999998</v>
      </c>
      <c r="E625" s="228"/>
    </row>
    <row r="626" spans="1:8" ht="45.6" customHeight="1" x14ac:dyDescent="0.2">
      <c r="A626" s="490" t="s">
        <v>862</v>
      </c>
      <c r="B626" s="320" t="s">
        <v>860</v>
      </c>
      <c r="C626" s="149"/>
      <c r="D626" s="156">
        <f>D413</f>
        <v>49.25</v>
      </c>
      <c r="E626" s="228"/>
    </row>
    <row r="627" spans="1:8" ht="37.5" customHeight="1" x14ac:dyDescent="0.2">
      <c r="A627" s="490" t="s">
        <v>937</v>
      </c>
      <c r="B627" s="116" t="s">
        <v>866</v>
      </c>
      <c r="C627" s="149"/>
      <c r="D627" s="188">
        <f>D16+D27+D37+D49+D60+D70+D80+D90+D100+D110+D120+D130+D144+D154+D173+D183+D193+D203+D213+D414</f>
        <v>75.316000000000017</v>
      </c>
      <c r="E627" s="228">
        <f>E16+E27+E37+E49+E60+E70+E80+E90+E100+E110+E120+E130+E144+E154+E173+E183+E193+E203+E213+E414</f>
        <v>74.324000000000012</v>
      </c>
      <c r="F627" s="480"/>
      <c r="G627" s="480"/>
      <c r="H627" s="480"/>
    </row>
    <row r="628" spans="1:8" ht="38.25" customHeight="1" x14ac:dyDescent="0.2">
      <c r="A628" s="490" t="s">
        <v>938</v>
      </c>
      <c r="B628" s="116" t="s">
        <v>868</v>
      </c>
      <c r="C628" s="149"/>
      <c r="D628" s="188">
        <f>D239</f>
        <v>17.103999999999999</v>
      </c>
      <c r="E628" s="228"/>
      <c r="F628" s="480"/>
      <c r="G628" s="480"/>
      <c r="H628" s="480"/>
    </row>
    <row r="629" spans="1:8" ht="36.75" customHeight="1" x14ac:dyDescent="0.2">
      <c r="A629" s="490" t="s">
        <v>939</v>
      </c>
      <c r="B629" s="116" t="s">
        <v>872</v>
      </c>
      <c r="C629" s="149"/>
      <c r="D629" s="137">
        <f>D464+D594</f>
        <v>90.3</v>
      </c>
      <c r="E629" s="228">
        <f>E464+E594</f>
        <v>1.774</v>
      </c>
      <c r="F629" s="480"/>
      <c r="G629" s="481"/>
      <c r="H629" s="481"/>
    </row>
    <row r="630" spans="1:8" ht="36.75" customHeight="1" thickBot="1" x14ac:dyDescent="0.25">
      <c r="A630" s="491" t="s">
        <v>955</v>
      </c>
      <c r="B630" s="488" t="s">
        <v>948</v>
      </c>
      <c r="C630" s="243"/>
      <c r="D630" s="487">
        <f>D465</f>
        <v>245.3</v>
      </c>
      <c r="E630" s="489"/>
      <c r="F630" s="480"/>
      <c r="G630" s="481"/>
      <c r="H630" s="481"/>
    </row>
    <row r="631" spans="1:8" x14ac:dyDescent="0.2">
      <c r="A631" s="43"/>
      <c r="B631" s="69" t="s">
        <v>168</v>
      </c>
      <c r="C631" s="68"/>
      <c r="D631" s="188"/>
      <c r="E631" s="188"/>
      <c r="F631" s="480"/>
      <c r="G631" s="480"/>
      <c r="H631" s="480"/>
    </row>
    <row r="632" spans="1:8" x14ac:dyDescent="0.2">
      <c r="A632" s="43" t="s">
        <v>662</v>
      </c>
      <c r="B632" s="70" t="s">
        <v>169</v>
      </c>
      <c r="C632" s="39" t="s">
        <v>170</v>
      </c>
      <c r="D632" s="206">
        <f>SUM(D634:D645)</f>
        <v>39860.699000000001</v>
      </c>
      <c r="E632" s="206">
        <f>SUM(E634:E645)</f>
        <v>29259.523999999998</v>
      </c>
      <c r="F632" s="482"/>
      <c r="G632" s="480"/>
      <c r="H632" s="480"/>
    </row>
    <row r="633" spans="1:8" x14ac:dyDescent="0.2">
      <c r="A633" s="43"/>
      <c r="B633" s="69" t="s">
        <v>478</v>
      </c>
      <c r="C633" s="43"/>
      <c r="D633" s="174"/>
      <c r="E633" s="137"/>
      <c r="F633" s="480"/>
      <c r="G633" s="480"/>
      <c r="H633" s="480"/>
    </row>
    <row r="634" spans="1:8" ht="12.75" customHeight="1" x14ac:dyDescent="0.2">
      <c r="A634" s="43" t="s">
        <v>663</v>
      </c>
      <c r="B634" s="35" t="s">
        <v>396</v>
      </c>
      <c r="C634" s="43"/>
      <c r="D634" s="137">
        <f>SUM(D12+D22+D33+D45+D55+D66+D77+D86+D96+D106+D116+D126+D140+D150+D160+D169+D179+D189+D199+D209+D219+D228+D237+D248+D407)</f>
        <v>19169.699999999997</v>
      </c>
      <c r="E634" s="137">
        <f>SUM(E12+E22+E33+E45+E55+E66+E77+E86+E96+E106+E116+E126+E140+E150+E160+E169+E179+E189+E199+E209+E219+E228+E237+E248+E407)</f>
        <v>12651.9</v>
      </c>
      <c r="F634" s="480"/>
      <c r="G634" s="484"/>
      <c r="H634" s="480"/>
    </row>
    <row r="635" spans="1:8" ht="14.25" customHeight="1" x14ac:dyDescent="0.2">
      <c r="A635" s="38" t="s">
        <v>664</v>
      </c>
      <c r="B635" s="37" t="s">
        <v>174</v>
      </c>
      <c r="C635" s="56"/>
      <c r="D635" s="137">
        <f>D13+D23+D34+D46+D56+D67+D78+D87+D97+D107+D117+D127+D141+D151+D161+D170+D180+D190+D200+D210+D220+D229+D249+D408</f>
        <v>17270.800000000003</v>
      </c>
      <c r="E635" s="137">
        <f>E13+E23+E34+E46+E56+E67+E78+E87+E97+E107+E117+E127+E141+E151+E161+E170+E180+E190+E200+E210+E220+E229+E249+E408</f>
        <v>15941.6</v>
      </c>
      <c r="F635" s="480"/>
      <c r="G635" s="480"/>
      <c r="H635" s="480"/>
    </row>
    <row r="636" spans="1:8" ht="24" x14ac:dyDescent="0.2">
      <c r="A636" s="38" t="s">
        <v>665</v>
      </c>
      <c r="B636" s="48" t="s">
        <v>182</v>
      </c>
      <c r="C636" s="56"/>
      <c r="D636" s="137">
        <f>D24+D57</f>
        <v>94.8</v>
      </c>
      <c r="E636" s="137">
        <f>E24+E57</f>
        <v>93.5</v>
      </c>
      <c r="F636" s="480"/>
      <c r="G636" s="481"/>
      <c r="H636" s="481"/>
    </row>
    <row r="637" spans="1:8" x14ac:dyDescent="0.2">
      <c r="A637" s="38"/>
      <c r="B637" s="48" t="s">
        <v>188</v>
      </c>
      <c r="C637" s="56"/>
      <c r="D637" s="137">
        <f>D14+D25+D35+D47+D58+D68+D88+D98+D108+D118+D128+D142+D152+D162+D171+D181+D191+D201+D211+D222+D231</f>
        <v>239.50000000000006</v>
      </c>
      <c r="E637" s="137">
        <f>E14+E25+E35+E47+E58+E68+E88+E98+E108+E118+E128+E142+E152+E162+E171+E181+E191+E201+E211+E222+E231</f>
        <v>236.6</v>
      </c>
    </row>
    <row r="638" spans="1:8" ht="24" x14ac:dyDescent="0.2">
      <c r="A638" s="38" t="s">
        <v>666</v>
      </c>
      <c r="B638" s="48" t="s">
        <v>649</v>
      </c>
      <c r="C638" s="56"/>
      <c r="D638" s="137">
        <f>D409</f>
        <v>269.89999999999998</v>
      </c>
      <c r="E638" s="137">
        <f>E409</f>
        <v>8</v>
      </c>
    </row>
    <row r="639" spans="1:8" x14ac:dyDescent="0.2">
      <c r="A639" s="43" t="s">
        <v>667</v>
      </c>
      <c r="B639" s="35" t="s">
        <v>178</v>
      </c>
      <c r="C639" s="52"/>
      <c r="D639" s="137">
        <f>SUM(D15+D26+D36+D48+D59+D69+D79+D89+D99+D109+D119+D129+D143+D153+D163+D172+D182+D192+D202+D212+D221+D230+D238)</f>
        <v>1495.5000000000002</v>
      </c>
      <c r="E639" s="137">
        <f>SUM(E15+E26+E36+E48+E59+E69+E79+E89+E99+E109+E119+E129+E143+E153+E163+E172+E182+E192+E202+E212+E221+E230+E238)</f>
        <v>250.5</v>
      </c>
      <c r="F639" s="21"/>
    </row>
    <row r="640" spans="1:8" ht="36" x14ac:dyDescent="0.2">
      <c r="A640" s="38" t="s">
        <v>668</v>
      </c>
      <c r="B640" s="48" t="s">
        <v>411</v>
      </c>
      <c r="C640" s="52"/>
      <c r="D640" s="137">
        <f>D410</f>
        <v>792.2</v>
      </c>
      <c r="E640" s="137">
        <f>E410</f>
        <v>3.1</v>
      </c>
    </row>
    <row r="641" spans="1:6" ht="23.25" customHeight="1" x14ac:dyDescent="0.2">
      <c r="A641" s="38" t="s">
        <v>669</v>
      </c>
      <c r="B641" s="45" t="s">
        <v>54</v>
      </c>
      <c r="C641" s="71"/>
      <c r="D641" s="136">
        <f>D411</f>
        <v>350</v>
      </c>
      <c r="E641" s="137"/>
    </row>
    <row r="642" spans="1:6" ht="23.25" customHeight="1" x14ac:dyDescent="0.2">
      <c r="A642" s="140" t="s">
        <v>863</v>
      </c>
      <c r="B642" s="244" t="s">
        <v>859</v>
      </c>
      <c r="C642" s="245"/>
      <c r="D642" s="194">
        <f>D412</f>
        <v>36.628999999999998</v>
      </c>
      <c r="E642" s="137"/>
    </row>
    <row r="643" spans="1:6" ht="37.5" customHeight="1" x14ac:dyDescent="0.2">
      <c r="A643" s="140" t="s">
        <v>864</v>
      </c>
      <c r="B643" s="244" t="s">
        <v>860</v>
      </c>
      <c r="C643" s="245"/>
      <c r="D643" s="473">
        <f>D413</f>
        <v>49.25</v>
      </c>
      <c r="E643" s="137"/>
    </row>
    <row r="644" spans="1:6" ht="36" customHeight="1" x14ac:dyDescent="0.2">
      <c r="A644" s="140" t="s">
        <v>940</v>
      </c>
      <c r="B644" s="321" t="s">
        <v>866</v>
      </c>
      <c r="C644" s="245"/>
      <c r="D644" s="188">
        <f>D16+D27+D37+D49+D60+D70+D80+D90+D100+D110+D120+D130+D144+D154+D173+D183+D193+D203+D213+D414</f>
        <v>75.316000000000017</v>
      </c>
      <c r="E644" s="188">
        <f>E16+E27+E37+E49+E60+E70+E80+E90+E100+E110+E120+E130+E144+E154+E173+E183+E193+E203+E213+E414</f>
        <v>74.324000000000012</v>
      </c>
    </row>
    <row r="645" spans="1:6" ht="36" customHeight="1" x14ac:dyDescent="0.2">
      <c r="A645" s="140" t="s">
        <v>941</v>
      </c>
      <c r="B645" s="321" t="s">
        <v>868</v>
      </c>
      <c r="C645" s="245"/>
      <c r="D645" s="188">
        <f>D239</f>
        <v>17.103999999999999</v>
      </c>
      <c r="E645" s="188">
        <f>E239</f>
        <v>0</v>
      </c>
    </row>
    <row r="646" spans="1:6" ht="13.5" customHeight="1" x14ac:dyDescent="0.2">
      <c r="A646" s="38" t="s">
        <v>670</v>
      </c>
      <c r="B646" s="72" t="s">
        <v>347</v>
      </c>
      <c r="C646" s="47"/>
      <c r="D646" s="175">
        <f>D648</f>
        <v>2162.4</v>
      </c>
      <c r="E646" s="174">
        <f>E648</f>
        <v>99.911999999999992</v>
      </c>
      <c r="F646" s="91"/>
    </row>
    <row r="647" spans="1:6" x14ac:dyDescent="0.2">
      <c r="A647" s="43"/>
      <c r="B647" s="33" t="s">
        <v>478</v>
      </c>
      <c r="C647" s="39"/>
      <c r="D647" s="138"/>
      <c r="E647" s="137"/>
    </row>
    <row r="648" spans="1:6" x14ac:dyDescent="0.2">
      <c r="A648" s="43" t="s">
        <v>671</v>
      </c>
      <c r="B648" s="72"/>
      <c r="C648" s="33" t="s">
        <v>348</v>
      </c>
      <c r="D648" s="138">
        <f>SUM(D650:D654)</f>
        <v>2162.4</v>
      </c>
      <c r="E648" s="137">
        <f>SUM(E650:E654)</f>
        <v>99.911999999999992</v>
      </c>
    </row>
    <row r="649" spans="1:6" ht="12.75" customHeight="1" x14ac:dyDescent="0.2">
      <c r="A649" s="43"/>
      <c r="B649" s="33" t="s">
        <v>168</v>
      </c>
      <c r="C649" s="39"/>
      <c r="D649" s="138"/>
      <c r="E649" s="137"/>
    </row>
    <row r="650" spans="1:6" ht="12.75" customHeight="1" x14ac:dyDescent="0.2">
      <c r="A650" s="43" t="s">
        <v>672</v>
      </c>
      <c r="B650" s="35" t="s">
        <v>396</v>
      </c>
      <c r="C650" s="39"/>
      <c r="D650" s="138">
        <f>D263+D416</f>
        <v>1323.9</v>
      </c>
      <c r="E650" s="137">
        <f>E263+E416</f>
        <v>86.311999999999998</v>
      </c>
    </row>
    <row r="651" spans="1:6" ht="12.75" customHeight="1" x14ac:dyDescent="0.2">
      <c r="A651" s="43" t="s">
        <v>673</v>
      </c>
      <c r="B651" s="35" t="s">
        <v>178</v>
      </c>
      <c r="C651" s="39"/>
      <c r="D651" s="138">
        <f>SUM(D266)</f>
        <v>100</v>
      </c>
      <c r="E651" s="137">
        <f>SUM(E266)</f>
        <v>5</v>
      </c>
    </row>
    <row r="652" spans="1:6" ht="12.75" customHeight="1" x14ac:dyDescent="0.2">
      <c r="A652" s="43" t="s">
        <v>674</v>
      </c>
      <c r="B652" s="45" t="s">
        <v>459</v>
      </c>
      <c r="C652" s="39"/>
      <c r="D652" s="138">
        <f>D421</f>
        <v>455</v>
      </c>
      <c r="E652" s="137"/>
    </row>
    <row r="653" spans="1:6" ht="34.5" customHeight="1" x14ac:dyDescent="0.2">
      <c r="A653" s="38" t="s">
        <v>675</v>
      </c>
      <c r="B653" s="48" t="s">
        <v>411</v>
      </c>
      <c r="C653" s="39"/>
      <c r="D653" s="138">
        <f>D264+D422</f>
        <v>280.5</v>
      </c>
      <c r="E653" s="137">
        <f>E264+E422</f>
        <v>5.6</v>
      </c>
    </row>
    <row r="654" spans="1:6" ht="12" customHeight="1" x14ac:dyDescent="0.2">
      <c r="A654" s="38" t="s">
        <v>676</v>
      </c>
      <c r="B654" s="104" t="s">
        <v>188</v>
      </c>
      <c r="C654" s="39"/>
      <c r="D654" s="138">
        <f>D265</f>
        <v>3</v>
      </c>
      <c r="E654" s="137">
        <f>E265</f>
        <v>3</v>
      </c>
    </row>
    <row r="655" spans="1:6" ht="12.75" customHeight="1" x14ac:dyDescent="0.2">
      <c r="A655" s="43" t="s">
        <v>677</v>
      </c>
      <c r="B655" s="34" t="s">
        <v>476</v>
      </c>
      <c r="C655" s="50"/>
      <c r="D655" s="174">
        <f>D657</f>
        <v>6281.3000000000011</v>
      </c>
      <c r="E655" s="174">
        <f>E657</f>
        <v>863.7</v>
      </c>
      <c r="F655" s="91"/>
    </row>
    <row r="656" spans="1:6" ht="12.75" customHeight="1" x14ac:dyDescent="0.2">
      <c r="A656" s="43"/>
      <c r="B656" s="33" t="s">
        <v>478</v>
      </c>
      <c r="C656" s="50"/>
      <c r="D656" s="174"/>
      <c r="E656" s="137"/>
    </row>
    <row r="657" spans="1:6" ht="12.75" customHeight="1" x14ac:dyDescent="0.2">
      <c r="A657" s="43" t="s">
        <v>678</v>
      </c>
      <c r="B657" s="34"/>
      <c r="C657" s="50" t="s">
        <v>477</v>
      </c>
      <c r="D657" s="137">
        <f>SUM(D659:D665)</f>
        <v>6281.3000000000011</v>
      </c>
      <c r="E657" s="137">
        <f>SUM(E659:E665)</f>
        <v>863.7</v>
      </c>
    </row>
    <row r="658" spans="1:6" ht="12.75" customHeight="1" x14ac:dyDescent="0.2">
      <c r="A658" s="43"/>
      <c r="B658" s="33" t="s">
        <v>168</v>
      </c>
      <c r="C658" s="50"/>
      <c r="D658" s="137"/>
      <c r="E658" s="137"/>
    </row>
    <row r="659" spans="1:6" ht="12.75" customHeight="1" x14ac:dyDescent="0.2">
      <c r="A659" s="43" t="s">
        <v>679</v>
      </c>
      <c r="B659" s="35" t="s">
        <v>680</v>
      </c>
      <c r="C659" s="43"/>
      <c r="D659" s="137">
        <f>D426</f>
        <v>3142.3</v>
      </c>
      <c r="E659" s="137">
        <f>E426</f>
        <v>863.7</v>
      </c>
    </row>
    <row r="660" spans="1:6" x14ac:dyDescent="0.2">
      <c r="A660" s="43" t="s">
        <v>681</v>
      </c>
      <c r="B660" s="35" t="s">
        <v>178</v>
      </c>
      <c r="C660" s="43"/>
      <c r="D660" s="137">
        <f>SUM(D439)</f>
        <v>10</v>
      </c>
      <c r="E660" s="137"/>
    </row>
    <row r="661" spans="1:6" x14ac:dyDescent="0.2">
      <c r="A661" s="38" t="s">
        <v>682</v>
      </c>
      <c r="B661" s="45" t="s">
        <v>480</v>
      </c>
      <c r="C661" s="43"/>
      <c r="D661" s="137">
        <f>D425</f>
        <v>347.1</v>
      </c>
      <c r="E661" s="137"/>
    </row>
    <row r="662" spans="1:6" ht="38.450000000000003" customHeight="1" x14ac:dyDescent="0.2">
      <c r="A662" s="38" t="s">
        <v>683</v>
      </c>
      <c r="B662" s="37" t="s">
        <v>652</v>
      </c>
      <c r="C662" s="41"/>
      <c r="D662" s="137">
        <f>D444</f>
        <v>13.9</v>
      </c>
      <c r="E662" s="137"/>
    </row>
    <row r="663" spans="1:6" ht="34.5" customHeight="1" x14ac:dyDescent="0.2">
      <c r="A663" s="38" t="s">
        <v>684</v>
      </c>
      <c r="B663" s="37" t="s">
        <v>411</v>
      </c>
      <c r="C663" s="41"/>
      <c r="D663" s="137">
        <f>D442</f>
        <v>215.9</v>
      </c>
      <c r="E663" s="137"/>
    </row>
    <row r="664" spans="1:6" ht="24" customHeight="1" x14ac:dyDescent="0.2">
      <c r="A664" s="38" t="s">
        <v>685</v>
      </c>
      <c r="B664" s="37" t="s">
        <v>507</v>
      </c>
      <c r="C664" s="41"/>
      <c r="D664" s="137">
        <f>D443</f>
        <v>2500</v>
      </c>
      <c r="E664" s="137"/>
    </row>
    <row r="665" spans="1:6" ht="12.6" customHeight="1" x14ac:dyDescent="0.2">
      <c r="A665" s="38" t="s">
        <v>686</v>
      </c>
      <c r="B665" s="104" t="s">
        <v>40</v>
      </c>
      <c r="C665" s="41"/>
      <c r="D665" s="137">
        <f>D445</f>
        <v>52.1</v>
      </c>
      <c r="E665" s="137"/>
    </row>
    <row r="666" spans="1:6" x14ac:dyDescent="0.2">
      <c r="A666" s="43" t="s">
        <v>687</v>
      </c>
      <c r="B666" s="44" t="s">
        <v>328</v>
      </c>
      <c r="C666" s="51" t="s">
        <v>358</v>
      </c>
      <c r="D666" s="175">
        <f>SUM(D668:D674)</f>
        <v>1624.1999999999998</v>
      </c>
      <c r="E666" s="174">
        <f>SUM(E668:E674)</f>
        <v>902.19999999999993</v>
      </c>
      <c r="F666" s="91"/>
    </row>
    <row r="667" spans="1:6" ht="12.75" customHeight="1" x14ac:dyDescent="0.2">
      <c r="A667" s="43"/>
      <c r="B667" s="33" t="s">
        <v>168</v>
      </c>
      <c r="C667" s="51"/>
      <c r="D667" s="138"/>
      <c r="E667" s="137"/>
    </row>
    <row r="668" spans="1:6" ht="12.75" customHeight="1" x14ac:dyDescent="0.2">
      <c r="A668" s="43" t="s">
        <v>688</v>
      </c>
      <c r="B668" s="35" t="s">
        <v>396</v>
      </c>
      <c r="C668" s="51"/>
      <c r="D668" s="138">
        <f>D272+D447</f>
        <v>468.5</v>
      </c>
      <c r="E668" s="137">
        <f>E272+E447</f>
        <v>265.89999999999998</v>
      </c>
    </row>
    <row r="669" spans="1:6" x14ac:dyDescent="0.2">
      <c r="A669" s="31" t="s">
        <v>689</v>
      </c>
      <c r="B669" s="49" t="s">
        <v>361</v>
      </c>
      <c r="C669" s="51"/>
      <c r="D669" s="138">
        <f>D273</f>
        <v>685.5</v>
      </c>
      <c r="E669" s="137">
        <f>E273</f>
        <v>551</v>
      </c>
    </row>
    <row r="670" spans="1:6" x14ac:dyDescent="0.2">
      <c r="A670" s="31" t="s">
        <v>690</v>
      </c>
      <c r="B670" s="35" t="s">
        <v>178</v>
      </c>
      <c r="C670" s="51"/>
      <c r="D670" s="138">
        <f>SUM(D275)</f>
        <v>2</v>
      </c>
      <c r="E670" s="137">
        <f>SUM(E275)</f>
        <v>0.5</v>
      </c>
    </row>
    <row r="671" spans="1:6" x14ac:dyDescent="0.2">
      <c r="A671" s="36" t="s">
        <v>691</v>
      </c>
      <c r="B671" s="45" t="s">
        <v>367</v>
      </c>
      <c r="C671" s="51"/>
      <c r="D671" s="137">
        <f>D241+D277+D448</f>
        <v>76.8</v>
      </c>
      <c r="E671" s="137">
        <f>E241+E277+E448</f>
        <v>0</v>
      </c>
    </row>
    <row r="672" spans="1:6" ht="39" customHeight="1" x14ac:dyDescent="0.2">
      <c r="A672" s="73" t="s">
        <v>692</v>
      </c>
      <c r="B672" s="32" t="s">
        <v>693</v>
      </c>
      <c r="C672" s="51"/>
      <c r="D672" s="137">
        <f>D276+D449</f>
        <v>390.4</v>
      </c>
      <c r="E672" s="137">
        <f>E276+E449</f>
        <v>83.8</v>
      </c>
    </row>
    <row r="673" spans="1:6" ht="12.6" customHeight="1" x14ac:dyDescent="0.2">
      <c r="A673" s="107" t="s">
        <v>694</v>
      </c>
      <c r="B673" s="106" t="s">
        <v>188</v>
      </c>
      <c r="C673" s="51"/>
      <c r="D673" s="137">
        <f>D274</f>
        <v>1</v>
      </c>
      <c r="E673" s="137">
        <f>E274</f>
        <v>1</v>
      </c>
    </row>
    <row r="674" spans="1:6" ht="34.15" customHeight="1" x14ac:dyDescent="0.2">
      <c r="A674" s="107" t="s">
        <v>777</v>
      </c>
      <c r="B674" s="106" t="s">
        <v>57</v>
      </c>
      <c r="C674" s="51"/>
      <c r="D674" s="137">
        <f>D450</f>
        <v>0</v>
      </c>
      <c r="E674" s="137"/>
    </row>
    <row r="675" spans="1:6" ht="13.15" customHeight="1" x14ac:dyDescent="0.2">
      <c r="A675" s="38" t="s">
        <v>695</v>
      </c>
      <c r="B675" s="42" t="s">
        <v>250</v>
      </c>
      <c r="C675" s="52"/>
      <c r="D675" s="206">
        <f>D677+D688+D689</f>
        <v>12367.583999999999</v>
      </c>
      <c r="E675" s="206">
        <f>E677+E688+E689</f>
        <v>4828.3639999999996</v>
      </c>
      <c r="F675" s="91"/>
    </row>
    <row r="676" spans="1:6" x14ac:dyDescent="0.2">
      <c r="A676" s="43"/>
      <c r="B676" s="33" t="s">
        <v>478</v>
      </c>
      <c r="C676" s="52"/>
      <c r="D676" s="101"/>
      <c r="E676" s="98"/>
    </row>
    <row r="677" spans="1:6" x14ac:dyDescent="0.2">
      <c r="A677" s="43" t="s">
        <v>696</v>
      </c>
      <c r="B677" s="34"/>
      <c r="C677" s="53" t="s">
        <v>104</v>
      </c>
      <c r="D677" s="188">
        <f>SUM(D679:D687)+D690+D691+D692+D693+D694+D695</f>
        <v>11929.377999999999</v>
      </c>
      <c r="E677" s="188">
        <f>SUM(E679:E687)+E690+E691+E692+E693</f>
        <v>4827.5639999999994</v>
      </c>
    </row>
    <row r="678" spans="1:6" x14ac:dyDescent="0.2">
      <c r="A678" s="43"/>
      <c r="B678" s="33" t="s">
        <v>168</v>
      </c>
      <c r="C678" s="53"/>
      <c r="D678" s="137"/>
      <c r="E678" s="137"/>
    </row>
    <row r="679" spans="1:6" x14ac:dyDescent="0.2">
      <c r="A679" s="43" t="s">
        <v>697</v>
      </c>
      <c r="B679" s="35" t="s">
        <v>396</v>
      </c>
      <c r="C679" s="53"/>
      <c r="D679" s="137">
        <f>D132+D255+D283+D293+D303+D454</f>
        <v>6482.1000000000013</v>
      </c>
      <c r="E679" s="137">
        <f>E132+E255+E283+E293+E303+E454</f>
        <v>2899.4</v>
      </c>
    </row>
    <row r="680" spans="1:6" ht="24" x14ac:dyDescent="0.2">
      <c r="A680" s="38" t="s">
        <v>698</v>
      </c>
      <c r="B680" s="37" t="s">
        <v>646</v>
      </c>
      <c r="C680" s="53"/>
      <c r="D680" s="98">
        <f>D314</f>
        <v>294.7</v>
      </c>
      <c r="E680" s="98">
        <f>E314</f>
        <v>271.2</v>
      </c>
    </row>
    <row r="681" spans="1:6" x14ac:dyDescent="0.2">
      <c r="A681" s="43" t="s">
        <v>699</v>
      </c>
      <c r="B681" s="35" t="s">
        <v>361</v>
      </c>
      <c r="C681" s="52"/>
      <c r="D681" s="98">
        <f>D294+D455</f>
        <v>2634.2999999999997</v>
      </c>
      <c r="E681" s="98">
        <f>E294+E455</f>
        <v>522.1</v>
      </c>
    </row>
    <row r="682" spans="1:6" x14ac:dyDescent="0.2">
      <c r="A682" s="43" t="s">
        <v>700</v>
      </c>
      <c r="B682" s="35" t="s">
        <v>178</v>
      </c>
      <c r="C682" s="43"/>
      <c r="D682" s="98">
        <f>SUM(D257+D285+D296+D305+D315+D456)</f>
        <v>1237.5999999999999</v>
      </c>
      <c r="E682" s="98">
        <f>SUM(E285+E296+E305+E315+E456)</f>
        <v>929.3</v>
      </c>
    </row>
    <row r="683" spans="1:6" ht="24.6" customHeight="1" x14ac:dyDescent="0.2">
      <c r="A683" s="38" t="s">
        <v>701</v>
      </c>
      <c r="B683" s="37" t="s">
        <v>411</v>
      </c>
      <c r="C683" s="41"/>
      <c r="D683" s="98">
        <f>D457</f>
        <v>273.8</v>
      </c>
      <c r="E683" s="98">
        <f>E457</f>
        <v>2.9</v>
      </c>
    </row>
    <row r="684" spans="1:6" ht="35.450000000000003" customHeight="1" x14ac:dyDescent="0.2">
      <c r="A684" s="103" t="s">
        <v>702</v>
      </c>
      <c r="B684" s="104" t="s">
        <v>761</v>
      </c>
      <c r="C684" s="69"/>
      <c r="D684" s="98">
        <f>D458</f>
        <v>125.3</v>
      </c>
      <c r="E684" s="98"/>
    </row>
    <row r="685" spans="1:6" ht="26.25" customHeight="1" x14ac:dyDescent="0.2">
      <c r="A685" s="103" t="s">
        <v>703</v>
      </c>
      <c r="B685" s="110" t="s">
        <v>637</v>
      </c>
      <c r="C685" s="74"/>
      <c r="D685" s="137">
        <f>D459+D307+D287</f>
        <v>33.700000000000003</v>
      </c>
      <c r="E685" s="137">
        <f>E459+E307+E287</f>
        <v>29.5</v>
      </c>
    </row>
    <row r="686" spans="1:6" ht="12.6" customHeight="1" x14ac:dyDescent="0.2">
      <c r="A686" s="103" t="s">
        <v>704</v>
      </c>
      <c r="B686" s="104" t="s">
        <v>188</v>
      </c>
      <c r="C686" s="74"/>
      <c r="D686" s="98">
        <f>D133+D256+D284+D295+D304</f>
        <v>16</v>
      </c>
      <c r="E686" s="98">
        <f>E133+E256+E284+E295+E304</f>
        <v>16</v>
      </c>
    </row>
    <row r="687" spans="1:6" ht="12.6" customHeight="1" x14ac:dyDescent="0.2">
      <c r="A687" s="140" t="s">
        <v>705</v>
      </c>
      <c r="B687" s="151" t="s">
        <v>795</v>
      </c>
      <c r="C687" s="152"/>
      <c r="D687" s="188">
        <f>D460</f>
        <v>194.517</v>
      </c>
      <c r="E687" s="137"/>
    </row>
    <row r="688" spans="1:6" ht="13.15" customHeight="1" x14ac:dyDescent="0.2">
      <c r="A688" s="140" t="s">
        <v>706</v>
      </c>
      <c r="B688" s="35" t="s">
        <v>396</v>
      </c>
      <c r="C688" s="152" t="s">
        <v>399</v>
      </c>
      <c r="D688" s="137">
        <f>D453</f>
        <v>393.6</v>
      </c>
      <c r="E688" s="137"/>
    </row>
    <row r="689" spans="1:6" ht="24.6" customHeight="1" x14ac:dyDescent="0.2">
      <c r="A689" s="229" t="s">
        <v>832</v>
      </c>
      <c r="B689" s="37" t="s">
        <v>524</v>
      </c>
      <c r="C689" s="162" t="s">
        <v>399</v>
      </c>
      <c r="D689" s="137">
        <f>D461</f>
        <v>44.606000000000002</v>
      </c>
      <c r="E689" s="137">
        <f>E461</f>
        <v>0.8</v>
      </c>
    </row>
    <row r="690" spans="1:6" ht="36.75" customHeight="1" x14ac:dyDescent="0.2">
      <c r="A690" s="108" t="s">
        <v>833</v>
      </c>
      <c r="B690" s="104" t="s">
        <v>810</v>
      </c>
      <c r="C690" s="162" t="s">
        <v>104</v>
      </c>
      <c r="D690" s="188">
        <f>D134+D286+D297+D306</f>
        <v>144.88999999999999</v>
      </c>
      <c r="E690" s="188">
        <f>E134+E286+E297+E306</f>
        <v>142.59</v>
      </c>
    </row>
    <row r="691" spans="1:6" ht="24.6" customHeight="1" x14ac:dyDescent="0.2">
      <c r="A691" s="108" t="s">
        <v>834</v>
      </c>
      <c r="B691" s="104" t="s">
        <v>817</v>
      </c>
      <c r="C691" s="74"/>
      <c r="D691" s="188">
        <f>D308</f>
        <v>14.795</v>
      </c>
      <c r="E691" s="188">
        <f>E308</f>
        <v>14.574</v>
      </c>
    </row>
    <row r="692" spans="1:6" ht="16.899999999999999" customHeight="1" x14ac:dyDescent="0.2">
      <c r="A692" s="108" t="s">
        <v>835</v>
      </c>
      <c r="B692" s="104" t="s">
        <v>822</v>
      </c>
      <c r="C692" s="74"/>
      <c r="D692" s="188">
        <f>D462</f>
        <v>39.698</v>
      </c>
      <c r="E692" s="137"/>
    </row>
    <row r="693" spans="1:6" ht="38.25" customHeight="1" x14ac:dyDescent="0.2">
      <c r="A693" s="108" t="s">
        <v>845</v>
      </c>
      <c r="B693" s="104" t="s">
        <v>823</v>
      </c>
      <c r="C693" s="74"/>
      <c r="D693" s="188">
        <f>D463</f>
        <v>104.178</v>
      </c>
      <c r="E693" s="137"/>
    </row>
    <row r="694" spans="1:6" ht="38.25" customHeight="1" x14ac:dyDescent="0.2">
      <c r="A694" s="108" t="s">
        <v>942</v>
      </c>
      <c r="B694" s="334" t="s">
        <v>936</v>
      </c>
      <c r="C694" s="74"/>
      <c r="D694" s="137">
        <f>D464</f>
        <v>88.5</v>
      </c>
      <c r="E694" s="137"/>
    </row>
    <row r="695" spans="1:6" ht="36" customHeight="1" x14ac:dyDescent="0.2">
      <c r="A695" s="108" t="s">
        <v>956</v>
      </c>
      <c r="B695" s="334" t="s">
        <v>948</v>
      </c>
      <c r="C695" s="74"/>
      <c r="D695" s="137">
        <f>D465</f>
        <v>245.3</v>
      </c>
      <c r="E695" s="137"/>
    </row>
    <row r="696" spans="1:6" ht="22.5" customHeight="1" x14ac:dyDescent="0.2">
      <c r="A696" s="38" t="s">
        <v>707</v>
      </c>
      <c r="B696" s="75" t="s">
        <v>526</v>
      </c>
      <c r="C696" s="52"/>
      <c r="D696" s="174">
        <f>SUM(D698:D705)</f>
        <v>8786.6999999999989</v>
      </c>
      <c r="E696" s="174">
        <f>SUM(E698:E704)</f>
        <v>9.2999999999999989</v>
      </c>
      <c r="F696" s="91"/>
    </row>
    <row r="697" spans="1:6" x14ac:dyDescent="0.2">
      <c r="A697" s="43"/>
      <c r="B697" s="33" t="s">
        <v>478</v>
      </c>
      <c r="C697" s="52"/>
      <c r="D697" s="174"/>
      <c r="E697" s="137"/>
    </row>
    <row r="698" spans="1:6" x14ac:dyDescent="0.2">
      <c r="A698" s="43" t="s">
        <v>708</v>
      </c>
      <c r="B698" s="35" t="s">
        <v>396</v>
      </c>
      <c r="C698" s="53" t="s">
        <v>348</v>
      </c>
      <c r="D698" s="98">
        <f>D468</f>
        <v>2190.5</v>
      </c>
      <c r="E698" s="98"/>
    </row>
    <row r="699" spans="1:6" x14ac:dyDescent="0.2">
      <c r="A699" s="43" t="s">
        <v>709</v>
      </c>
      <c r="B699" s="35" t="s">
        <v>396</v>
      </c>
      <c r="C699" s="53" t="s">
        <v>540</v>
      </c>
      <c r="D699" s="98">
        <f>D41+D393+D481</f>
        <v>1375.8999999999999</v>
      </c>
      <c r="E699" s="98">
        <f>E481</f>
        <v>8.1</v>
      </c>
    </row>
    <row r="700" spans="1:6" ht="34.5" customHeight="1" x14ac:dyDescent="0.2">
      <c r="A700" s="38" t="s">
        <v>710</v>
      </c>
      <c r="B700" s="32" t="s">
        <v>553</v>
      </c>
      <c r="C700" s="54" t="s">
        <v>348</v>
      </c>
      <c r="D700" s="137">
        <f>D494</f>
        <v>3007.4</v>
      </c>
      <c r="E700" s="98"/>
    </row>
    <row r="701" spans="1:6" ht="23.45" customHeight="1" x14ac:dyDescent="0.2">
      <c r="A701" s="38" t="s">
        <v>711</v>
      </c>
      <c r="B701" s="48" t="s">
        <v>411</v>
      </c>
      <c r="C701" s="54" t="s">
        <v>348</v>
      </c>
      <c r="D701" s="137">
        <f>D495</f>
        <v>433.4</v>
      </c>
      <c r="E701" s="98"/>
    </row>
    <row r="702" spans="1:6" ht="25.9" customHeight="1" x14ac:dyDescent="0.2">
      <c r="A702" s="38" t="s">
        <v>712</v>
      </c>
      <c r="B702" s="48" t="s">
        <v>713</v>
      </c>
      <c r="C702" s="54" t="s">
        <v>540</v>
      </c>
      <c r="D702" s="137">
        <f>D496</f>
        <v>554.5</v>
      </c>
      <c r="E702" s="98">
        <f>E496</f>
        <v>1.2</v>
      </c>
    </row>
    <row r="703" spans="1:6" ht="12.75" customHeight="1" x14ac:dyDescent="0.2">
      <c r="A703" s="38" t="s">
        <v>714</v>
      </c>
      <c r="B703" s="48" t="s">
        <v>178</v>
      </c>
      <c r="C703" s="54" t="s">
        <v>540</v>
      </c>
      <c r="D703" s="137">
        <f>SUM(D497)</f>
        <v>5</v>
      </c>
      <c r="E703" s="98"/>
    </row>
    <row r="704" spans="1:6" ht="16.149999999999999" customHeight="1" x14ac:dyDescent="0.2">
      <c r="A704" s="103" t="s">
        <v>715</v>
      </c>
      <c r="B704" s="37" t="s">
        <v>509</v>
      </c>
      <c r="C704" s="111" t="s">
        <v>348</v>
      </c>
      <c r="D704" s="98">
        <f>D498</f>
        <v>120</v>
      </c>
      <c r="E704" s="98"/>
    </row>
    <row r="705" spans="1:6" ht="16.149999999999999" customHeight="1" x14ac:dyDescent="0.2">
      <c r="A705" s="103" t="s">
        <v>934</v>
      </c>
      <c r="B705" s="404" t="s">
        <v>178</v>
      </c>
      <c r="C705" s="111" t="s">
        <v>348</v>
      </c>
      <c r="D705" s="137">
        <f>SUM(D499)</f>
        <v>1100</v>
      </c>
      <c r="E705" s="137"/>
    </row>
    <row r="706" spans="1:6" ht="24" x14ac:dyDescent="0.2">
      <c r="A706" s="38" t="s">
        <v>716</v>
      </c>
      <c r="B706" s="46" t="s">
        <v>398</v>
      </c>
      <c r="C706" s="55" t="s">
        <v>399</v>
      </c>
      <c r="D706" s="206">
        <f>SUM(D708:D713)</f>
        <v>6339.4480000000003</v>
      </c>
      <c r="E706" s="174">
        <f>SUM(E708:E713)</f>
        <v>3128.5</v>
      </c>
      <c r="F706" s="91"/>
    </row>
    <row r="707" spans="1:6" x14ac:dyDescent="0.2">
      <c r="A707" s="43"/>
      <c r="B707" s="33" t="s">
        <v>478</v>
      </c>
      <c r="C707" s="76"/>
      <c r="D707" s="174"/>
      <c r="E707" s="137"/>
    </row>
    <row r="708" spans="1:6" x14ac:dyDescent="0.2">
      <c r="A708" s="43" t="s">
        <v>717</v>
      </c>
      <c r="B708" s="35" t="s">
        <v>396</v>
      </c>
      <c r="C708" s="57"/>
      <c r="D708" s="137">
        <f>D319+D329+D338+D346+D354+D362+D370+D378+D502</f>
        <v>4930.5</v>
      </c>
      <c r="E708" s="137">
        <f>E319+E329+E338+E346+E354+E362+E370+E378+E502</f>
        <v>2954.7</v>
      </c>
    </row>
    <row r="709" spans="1:6" x14ac:dyDescent="0.2">
      <c r="A709" s="43" t="s">
        <v>718</v>
      </c>
      <c r="B709" s="35" t="s">
        <v>178</v>
      </c>
      <c r="C709" s="43"/>
      <c r="D709" s="137">
        <f>SUM(D322+D331+D340+D348+D356+D364+D372+D380)</f>
        <v>343.5</v>
      </c>
      <c r="E709" s="137">
        <f>SUM(E322+E331+E340+E348+E356+E364+E372+E380)</f>
        <v>131.4</v>
      </c>
    </row>
    <row r="710" spans="1:6" ht="25.15" customHeight="1" x14ac:dyDescent="0.2">
      <c r="A710" s="38" t="s">
        <v>719</v>
      </c>
      <c r="B710" s="48" t="s">
        <v>411</v>
      </c>
      <c r="C710" s="43"/>
      <c r="D710" s="137">
        <f>D332+D506</f>
        <v>401.3</v>
      </c>
      <c r="E710" s="137">
        <f>E332+E506</f>
        <v>12.9</v>
      </c>
    </row>
    <row r="711" spans="1:6" ht="12" customHeight="1" x14ac:dyDescent="0.2">
      <c r="A711" s="103" t="s">
        <v>766</v>
      </c>
      <c r="B711" s="112" t="s">
        <v>188</v>
      </c>
      <c r="C711" s="43"/>
      <c r="D711" s="137">
        <f>D320+D330+D339+D347+D355+D363+D371+D379</f>
        <v>29.5</v>
      </c>
      <c r="E711" s="137">
        <f>E320+E330+E339+E347+E355+E363+E371+E379</f>
        <v>29.5</v>
      </c>
    </row>
    <row r="712" spans="1:6" ht="23.45" customHeight="1" x14ac:dyDescent="0.2">
      <c r="A712" s="38" t="s">
        <v>720</v>
      </c>
      <c r="B712" s="112" t="s">
        <v>764</v>
      </c>
      <c r="C712" s="43"/>
      <c r="D712" s="188">
        <f>D321</f>
        <v>77.647999999999996</v>
      </c>
      <c r="E712" s="137"/>
    </row>
    <row r="713" spans="1:6" ht="25.9" customHeight="1" x14ac:dyDescent="0.2">
      <c r="A713" s="38" t="s">
        <v>721</v>
      </c>
      <c r="B713" s="48" t="s">
        <v>563</v>
      </c>
      <c r="C713" s="43"/>
      <c r="D713" s="137">
        <f>D507</f>
        <v>557</v>
      </c>
      <c r="E713" s="137"/>
    </row>
    <row r="714" spans="1:6" x14ac:dyDescent="0.2">
      <c r="A714" s="43" t="s">
        <v>722</v>
      </c>
      <c r="B714" s="34" t="s">
        <v>450</v>
      </c>
      <c r="C714" s="51"/>
      <c r="D714" s="222">
        <f>SUM(D716:D719)</f>
        <v>2577.6000000000004</v>
      </c>
      <c r="E714" s="174">
        <f>SUM(E716:E719)</f>
        <v>860.7</v>
      </c>
      <c r="F714" s="91"/>
    </row>
    <row r="715" spans="1:6" x14ac:dyDescent="0.2">
      <c r="A715" s="43"/>
      <c r="B715" s="33" t="s">
        <v>478</v>
      </c>
      <c r="C715" s="51"/>
      <c r="D715" s="222"/>
      <c r="E715" s="137"/>
    </row>
    <row r="716" spans="1:6" x14ac:dyDescent="0.2">
      <c r="A716" s="43" t="s">
        <v>723</v>
      </c>
      <c r="B716" s="35" t="s">
        <v>396</v>
      </c>
      <c r="C716" s="51" t="s">
        <v>399</v>
      </c>
      <c r="D716" s="154">
        <f>D386+D510</f>
        <v>2184.6000000000004</v>
      </c>
      <c r="E716" s="137">
        <f>E386+E510</f>
        <v>593</v>
      </c>
    </row>
    <row r="717" spans="1:6" ht="13.5" customHeight="1" x14ac:dyDescent="0.2">
      <c r="A717" s="43" t="s">
        <v>724</v>
      </c>
      <c r="B717" s="35" t="s">
        <v>178</v>
      </c>
      <c r="C717" s="51"/>
      <c r="D717" s="154">
        <f>SUM(D388)</f>
        <v>60</v>
      </c>
      <c r="E717" s="137">
        <f>SUM(E388)</f>
        <v>22</v>
      </c>
    </row>
    <row r="718" spans="1:6" ht="13.5" customHeight="1" x14ac:dyDescent="0.2">
      <c r="A718" s="105" t="s">
        <v>725</v>
      </c>
      <c r="B718" s="113" t="s">
        <v>188</v>
      </c>
      <c r="C718" s="51"/>
      <c r="D718" s="154">
        <f>D387</f>
        <v>4</v>
      </c>
      <c r="E718" s="137">
        <f>E387</f>
        <v>4</v>
      </c>
    </row>
    <row r="719" spans="1:6" ht="13.5" customHeight="1" x14ac:dyDescent="0.2">
      <c r="A719" s="103" t="s">
        <v>726</v>
      </c>
      <c r="B719" s="35" t="s">
        <v>396</v>
      </c>
      <c r="C719" s="51" t="s">
        <v>170</v>
      </c>
      <c r="D719" s="154">
        <f>D511</f>
        <v>329</v>
      </c>
      <c r="E719" s="137">
        <f>E511</f>
        <v>241.7</v>
      </c>
    </row>
    <row r="720" spans="1:6" ht="24" customHeight="1" x14ac:dyDescent="0.2">
      <c r="A720" s="77" t="s">
        <v>727</v>
      </c>
      <c r="B720" s="46" t="s">
        <v>179</v>
      </c>
      <c r="C720" s="57"/>
      <c r="D720" s="472">
        <f>D722+D736+D740+D745+D750+D751+D752+D753+D754+D757+D766+D767</f>
        <v>12810.201999999999</v>
      </c>
      <c r="E720" s="472">
        <f>E722+E736+E740+E745+E750+E751+E752+E753+E754+E757+E766+E767</f>
        <v>8023.063000000001</v>
      </c>
      <c r="F720" s="91"/>
    </row>
    <row r="721" spans="1:6" ht="12.75" customHeight="1" x14ac:dyDescent="0.2">
      <c r="A721" s="43"/>
      <c r="B721" s="33" t="s">
        <v>478</v>
      </c>
      <c r="C721" s="57"/>
      <c r="D721" s="222"/>
      <c r="E721" s="137"/>
    </row>
    <row r="722" spans="1:6" x14ac:dyDescent="0.2">
      <c r="A722" s="43" t="s">
        <v>728</v>
      </c>
      <c r="B722" s="43"/>
      <c r="C722" s="53" t="s">
        <v>332</v>
      </c>
      <c r="D722" s="223">
        <f>D724+D725+D731+D732</f>
        <v>8035.7489999999998</v>
      </c>
      <c r="E722" s="137">
        <f>E724+E725+E731+E732</f>
        <v>4615.6000000000013</v>
      </c>
      <c r="F722" s="91"/>
    </row>
    <row r="723" spans="1:6" ht="12.75" customHeight="1" x14ac:dyDescent="0.2">
      <c r="A723" s="43"/>
      <c r="B723" s="33" t="s">
        <v>168</v>
      </c>
      <c r="C723" s="57"/>
      <c r="D723" s="154"/>
      <c r="E723" s="137"/>
    </row>
    <row r="724" spans="1:6" ht="12.75" customHeight="1" x14ac:dyDescent="0.2">
      <c r="A724" s="43" t="s">
        <v>729</v>
      </c>
      <c r="B724" s="35" t="s">
        <v>570</v>
      </c>
      <c r="C724" s="57"/>
      <c r="D724" s="99">
        <f>D516</f>
        <v>445.9</v>
      </c>
      <c r="E724" s="98">
        <f>E516</f>
        <v>286.60000000000002</v>
      </c>
      <c r="F724" s="91"/>
    </row>
    <row r="725" spans="1:6" ht="12.75" customHeight="1" x14ac:dyDescent="0.2">
      <c r="A725" s="43" t="s">
        <v>730</v>
      </c>
      <c r="B725" s="35" t="s">
        <v>162</v>
      </c>
      <c r="C725" s="57"/>
      <c r="D725" s="226">
        <f>D727+D728+D729+D730</f>
        <v>6272.9490000000005</v>
      </c>
      <c r="E725" s="98">
        <f>E727+E728+E729</f>
        <v>3472.9000000000005</v>
      </c>
    </row>
    <row r="726" spans="1:6" ht="12.75" customHeight="1" x14ac:dyDescent="0.2">
      <c r="A726" s="43"/>
      <c r="B726" s="33" t="s">
        <v>478</v>
      </c>
      <c r="C726" s="57"/>
      <c r="D726" s="99"/>
      <c r="E726" s="98"/>
      <c r="F726" s="91"/>
    </row>
    <row r="727" spans="1:6" x14ac:dyDescent="0.2">
      <c r="A727" s="43" t="s">
        <v>731</v>
      </c>
      <c r="B727" s="35" t="s">
        <v>396</v>
      </c>
      <c r="C727" s="57"/>
      <c r="D727" s="154">
        <f>D519</f>
        <v>6116</v>
      </c>
      <c r="E727" s="98">
        <f>E519</f>
        <v>3397.5000000000005</v>
      </c>
      <c r="F727" s="91"/>
    </row>
    <row r="728" spans="1:6" x14ac:dyDescent="0.2">
      <c r="A728" s="43" t="s">
        <v>732</v>
      </c>
      <c r="B728" s="35" t="s">
        <v>585</v>
      </c>
      <c r="C728" s="52"/>
      <c r="D728" s="226">
        <f>D532</f>
        <v>79.274000000000015</v>
      </c>
      <c r="E728" s="98">
        <f>E532</f>
        <v>75.400000000000006</v>
      </c>
    </row>
    <row r="729" spans="1:6" x14ac:dyDescent="0.2">
      <c r="A729" s="43" t="s">
        <v>733</v>
      </c>
      <c r="B729" s="35" t="s">
        <v>178</v>
      </c>
      <c r="C729" s="57"/>
      <c r="D729" s="99">
        <f>SUM(D542)</f>
        <v>55.1</v>
      </c>
      <c r="E729" s="98">
        <f>SUM(E542)</f>
        <v>0</v>
      </c>
    </row>
    <row r="730" spans="1:6" ht="36" x14ac:dyDescent="0.2">
      <c r="A730" s="105" t="s">
        <v>836</v>
      </c>
      <c r="B730" s="106" t="s">
        <v>775</v>
      </c>
      <c r="C730" s="57"/>
      <c r="D730" s="223">
        <f>D548</f>
        <v>22.574999999999999</v>
      </c>
      <c r="E730" s="98"/>
    </row>
    <row r="731" spans="1:6" x14ac:dyDescent="0.2">
      <c r="A731" s="43" t="s">
        <v>734</v>
      </c>
      <c r="B731" s="104" t="s">
        <v>778</v>
      </c>
      <c r="C731" s="57"/>
      <c r="D731" s="99">
        <f>D403</f>
        <v>153.5</v>
      </c>
      <c r="E731" s="98">
        <f>E403</f>
        <v>142.4</v>
      </c>
    </row>
    <row r="732" spans="1:6" ht="24" customHeight="1" x14ac:dyDescent="0.2">
      <c r="A732" s="140" t="s">
        <v>837</v>
      </c>
      <c r="B732" s="37" t="s">
        <v>779</v>
      </c>
      <c r="C732" s="78"/>
      <c r="D732" s="154">
        <f>D734+D735</f>
        <v>1163.4000000000001</v>
      </c>
      <c r="E732" s="98">
        <f>E734+E735</f>
        <v>713.70000000000039</v>
      </c>
    </row>
    <row r="733" spans="1:6" ht="11.45" customHeight="1" x14ac:dyDescent="0.2">
      <c r="A733" s="227"/>
      <c r="B733" s="33" t="s">
        <v>168</v>
      </c>
      <c r="C733" s="78"/>
      <c r="D733" s="154"/>
      <c r="E733" s="98"/>
    </row>
    <row r="734" spans="1:6" ht="12.6" customHeight="1" x14ac:dyDescent="0.2">
      <c r="A734" s="140" t="s">
        <v>838</v>
      </c>
      <c r="B734" s="35" t="s">
        <v>396</v>
      </c>
      <c r="C734" s="78"/>
      <c r="D734" s="154">
        <f>D18+D29+D39+D51+D62+D72+D82+D92+D102+D112+D122+D136+D146+D156+D165+D175+D185+D195+D205+D215+D224+D233+D243+D251+D259+D268+D279+D289+D299+D310+D324+D334+D342+D350+D358+D366+D374+D382+D390</f>
        <v>1160.4000000000001</v>
      </c>
      <c r="E734" s="98">
        <f>E18+E29+E39+E51+E62+E72+E82+E92+E102+E112+E122+E136+E146+E156+E165+E175+E185+E195+E205+E215+E224+E233+E243+E251+E259+E268+E279+E289+E299+E310+E324+E334+E342+E350+E358+E366+E374+E382+E390</f>
        <v>710.70000000000039</v>
      </c>
    </row>
    <row r="735" spans="1:6" ht="12.6" customHeight="1" x14ac:dyDescent="0.2">
      <c r="A735" s="140" t="s">
        <v>839</v>
      </c>
      <c r="B735" s="104" t="s">
        <v>188</v>
      </c>
      <c r="C735" s="78"/>
      <c r="D735" s="154">
        <f>D244</f>
        <v>3</v>
      </c>
      <c r="E735" s="98">
        <f>E244</f>
        <v>3</v>
      </c>
    </row>
    <row r="736" spans="1:6" x14ac:dyDescent="0.2">
      <c r="A736" s="43" t="s">
        <v>735</v>
      </c>
      <c r="B736" s="53"/>
      <c r="C736" s="53" t="s">
        <v>600</v>
      </c>
      <c r="D736" s="99">
        <f>D738+D739</f>
        <v>318.39999999999998</v>
      </c>
      <c r="E736" s="98">
        <f>E738+E739</f>
        <v>74.599999999999994</v>
      </c>
    </row>
    <row r="737" spans="1:5" x14ac:dyDescent="0.2">
      <c r="A737" s="43"/>
      <c r="B737" s="53" t="s">
        <v>168</v>
      </c>
      <c r="C737" s="53"/>
      <c r="D737" s="99"/>
      <c r="E737" s="98"/>
    </row>
    <row r="738" spans="1:5" x14ac:dyDescent="0.2">
      <c r="A738" s="43" t="s">
        <v>736</v>
      </c>
      <c r="B738" s="35" t="s">
        <v>361</v>
      </c>
      <c r="C738" s="57"/>
      <c r="D738" s="99">
        <f>D551</f>
        <v>301.2</v>
      </c>
      <c r="E738" s="98">
        <f>E551</f>
        <v>58.699999999999996</v>
      </c>
    </row>
    <row r="739" spans="1:5" x14ac:dyDescent="0.2">
      <c r="A739" s="43" t="s">
        <v>737</v>
      </c>
      <c r="B739" s="35" t="s">
        <v>396</v>
      </c>
      <c r="C739" s="57"/>
      <c r="D739" s="99">
        <f>D552</f>
        <v>17.2</v>
      </c>
      <c r="E739" s="98">
        <f>E552</f>
        <v>15.9</v>
      </c>
    </row>
    <row r="740" spans="1:5" x14ac:dyDescent="0.2">
      <c r="A740" s="43" t="s">
        <v>738</v>
      </c>
      <c r="B740" s="35"/>
      <c r="C740" s="53" t="s">
        <v>457</v>
      </c>
      <c r="D740" s="154">
        <f>D742+D743+D744</f>
        <v>1045.4000000000001</v>
      </c>
      <c r="E740" s="98">
        <f>E742+E743+E744</f>
        <v>751.5</v>
      </c>
    </row>
    <row r="741" spans="1:5" x14ac:dyDescent="0.2">
      <c r="A741" s="43"/>
      <c r="B741" s="33" t="s">
        <v>168</v>
      </c>
      <c r="C741" s="53"/>
      <c r="D741" s="99"/>
      <c r="E741" s="98"/>
    </row>
    <row r="742" spans="1:5" x14ac:dyDescent="0.2">
      <c r="A742" s="43" t="s">
        <v>739</v>
      </c>
      <c r="B742" s="35" t="s">
        <v>396</v>
      </c>
      <c r="C742" s="53"/>
      <c r="D742" s="154">
        <f>D397+D553</f>
        <v>243.79999999999998</v>
      </c>
      <c r="E742" s="98">
        <f>E397+E553</f>
        <v>13.4</v>
      </c>
    </row>
    <row r="743" spans="1:5" x14ac:dyDescent="0.2">
      <c r="A743" s="43" t="s">
        <v>740</v>
      </c>
      <c r="B743" s="35" t="s">
        <v>459</v>
      </c>
      <c r="C743" s="53"/>
      <c r="D743" s="99">
        <f>D398</f>
        <v>798.6</v>
      </c>
      <c r="E743" s="98">
        <f>E398</f>
        <v>738.1</v>
      </c>
    </row>
    <row r="744" spans="1:5" x14ac:dyDescent="0.2">
      <c r="A744" s="43" t="s">
        <v>741</v>
      </c>
      <c r="B744" s="35" t="s">
        <v>178</v>
      </c>
      <c r="C744" s="53"/>
      <c r="D744" s="99">
        <f>SUM(D399)</f>
        <v>3</v>
      </c>
      <c r="E744" s="98">
        <f>SUM(E399)</f>
        <v>0</v>
      </c>
    </row>
    <row r="745" spans="1:5" x14ac:dyDescent="0.2">
      <c r="A745" s="43" t="s">
        <v>742</v>
      </c>
      <c r="B745" s="35"/>
      <c r="C745" s="53" t="s">
        <v>348</v>
      </c>
      <c r="D745" s="99">
        <f>D747+D748+D749</f>
        <v>1551.4249999999997</v>
      </c>
      <c r="E745" s="98">
        <f>E747+E748+E749</f>
        <v>1429.1999999999998</v>
      </c>
    </row>
    <row r="746" spans="1:5" x14ac:dyDescent="0.2">
      <c r="A746" s="43"/>
      <c r="B746" s="33" t="s">
        <v>168</v>
      </c>
      <c r="C746" s="53"/>
      <c r="D746" s="99"/>
      <c r="E746" s="98"/>
    </row>
    <row r="747" spans="1:5" x14ac:dyDescent="0.2">
      <c r="A747" s="26" t="s">
        <v>743</v>
      </c>
      <c r="B747" s="24" t="s">
        <v>396</v>
      </c>
      <c r="C747" s="79"/>
      <c r="D747" s="99">
        <f>D556</f>
        <v>1248.3999999999999</v>
      </c>
      <c r="E747" s="98">
        <f>E556</f>
        <v>1159.5999999999999</v>
      </c>
    </row>
    <row r="748" spans="1:5" ht="12.75" customHeight="1" x14ac:dyDescent="0.2">
      <c r="A748" s="26" t="s">
        <v>744</v>
      </c>
      <c r="B748" s="24" t="s">
        <v>459</v>
      </c>
      <c r="C748" s="79"/>
      <c r="D748" s="226">
        <f>D557</f>
        <v>283.02499999999998</v>
      </c>
      <c r="E748" s="98">
        <f>E557</f>
        <v>269.60000000000002</v>
      </c>
    </row>
    <row r="749" spans="1:5" x14ac:dyDescent="0.2">
      <c r="A749" s="26" t="s">
        <v>745</v>
      </c>
      <c r="B749" s="80" t="s">
        <v>509</v>
      </c>
      <c r="C749" s="79"/>
      <c r="D749" s="99">
        <f>D566</f>
        <v>20</v>
      </c>
      <c r="E749" s="98"/>
    </row>
    <row r="750" spans="1:5" x14ac:dyDescent="0.2">
      <c r="A750" s="26" t="s">
        <v>746</v>
      </c>
      <c r="B750" s="24" t="s">
        <v>396</v>
      </c>
      <c r="C750" s="79" t="s">
        <v>477</v>
      </c>
      <c r="D750" s="99">
        <f>D567</f>
        <v>22.6</v>
      </c>
      <c r="E750" s="98">
        <f>E567</f>
        <v>21.7</v>
      </c>
    </row>
    <row r="751" spans="1:5" x14ac:dyDescent="0.2">
      <c r="A751" s="26" t="s">
        <v>747</v>
      </c>
      <c r="B751" s="24" t="s">
        <v>396</v>
      </c>
      <c r="C751" s="79" t="s">
        <v>540</v>
      </c>
      <c r="D751" s="99">
        <f>D568</f>
        <v>52.6</v>
      </c>
      <c r="E751" s="98"/>
    </row>
    <row r="752" spans="1:5" x14ac:dyDescent="0.2">
      <c r="A752" s="26" t="s">
        <v>748</v>
      </c>
      <c r="B752" s="24" t="s">
        <v>396</v>
      </c>
      <c r="C752" s="79" t="s">
        <v>358</v>
      </c>
      <c r="D752" s="99">
        <f>D569</f>
        <v>100.2</v>
      </c>
      <c r="E752" s="98">
        <f>E569</f>
        <v>98.2</v>
      </c>
    </row>
    <row r="753" spans="1:5" x14ac:dyDescent="0.2">
      <c r="A753" s="26" t="s">
        <v>749</v>
      </c>
      <c r="B753" s="24" t="s">
        <v>396</v>
      </c>
      <c r="C753" s="79" t="s">
        <v>399</v>
      </c>
      <c r="D753" s="99">
        <f>D73+D325+D391+D570</f>
        <v>355.5</v>
      </c>
      <c r="E753" s="99">
        <f>E73+E325+E391+E570</f>
        <v>54.2</v>
      </c>
    </row>
    <row r="754" spans="1:5" x14ac:dyDescent="0.2">
      <c r="A754" s="26" t="s">
        <v>750</v>
      </c>
      <c r="B754" s="24"/>
      <c r="C754" s="79" t="s">
        <v>170</v>
      </c>
      <c r="D754" s="99">
        <f>D755+D756</f>
        <v>312.56300000000005</v>
      </c>
      <c r="E754" s="98">
        <f>E755+E756</f>
        <v>256.8</v>
      </c>
    </row>
    <row r="755" spans="1:5" x14ac:dyDescent="0.2">
      <c r="A755" s="26" t="s">
        <v>751</v>
      </c>
      <c r="B755" s="24" t="s">
        <v>396</v>
      </c>
      <c r="C755" s="79"/>
      <c r="D755" s="99">
        <f>D572</f>
        <v>291.60000000000002</v>
      </c>
      <c r="E755" s="98">
        <f>SUM(E572)</f>
        <v>236.1</v>
      </c>
    </row>
    <row r="756" spans="1:5" x14ac:dyDescent="0.2">
      <c r="A756" s="29" t="s">
        <v>752</v>
      </c>
      <c r="B756" s="24" t="s">
        <v>459</v>
      </c>
      <c r="C756" s="81"/>
      <c r="D756" s="223">
        <f>D573</f>
        <v>20.963000000000001</v>
      </c>
      <c r="E756" s="98">
        <f>E573</f>
        <v>20.7</v>
      </c>
    </row>
    <row r="757" spans="1:5" ht="12.75" customHeight="1" x14ac:dyDescent="0.2">
      <c r="A757" s="26" t="s">
        <v>753</v>
      </c>
      <c r="B757" s="26"/>
      <c r="C757" s="79" t="s">
        <v>104</v>
      </c>
      <c r="D757" s="223">
        <f>D759+D760+D761+D762+D763+D764+D765</f>
        <v>789.76499999999999</v>
      </c>
      <c r="E757" s="223">
        <f>E759+E760+E761+E762+E763+E764+E765</f>
        <v>721.26300000000003</v>
      </c>
    </row>
    <row r="758" spans="1:5" ht="12.75" customHeight="1" x14ac:dyDescent="0.2">
      <c r="A758" s="26"/>
      <c r="B758" s="23" t="s">
        <v>168</v>
      </c>
      <c r="C758" s="79"/>
      <c r="D758" s="154"/>
      <c r="E758" s="98"/>
    </row>
    <row r="759" spans="1:5" x14ac:dyDescent="0.2">
      <c r="A759" s="26" t="s">
        <v>754</v>
      </c>
      <c r="B759" s="24" t="s">
        <v>396</v>
      </c>
      <c r="C759" s="79"/>
      <c r="D759" s="154">
        <f>D576</f>
        <v>679.7</v>
      </c>
      <c r="E759" s="98">
        <f>E576</f>
        <v>612.79999999999995</v>
      </c>
    </row>
    <row r="760" spans="1:5" ht="12" customHeight="1" x14ac:dyDescent="0.2">
      <c r="A760" s="26" t="s">
        <v>755</v>
      </c>
      <c r="B760" s="24" t="s">
        <v>459</v>
      </c>
      <c r="C760" s="79"/>
      <c r="D760" s="154">
        <f t="shared" ref="D760:E762" si="0">D589</f>
        <v>97.100000000000009</v>
      </c>
      <c r="E760" s="98">
        <f t="shared" si="0"/>
        <v>95.7</v>
      </c>
    </row>
    <row r="761" spans="1:5" ht="23.45" customHeight="1" x14ac:dyDescent="0.2">
      <c r="A761" s="26" t="s">
        <v>756</v>
      </c>
      <c r="B761" s="25" t="s">
        <v>637</v>
      </c>
      <c r="C761" s="79"/>
      <c r="D761" s="154">
        <f t="shared" si="0"/>
        <v>0.5</v>
      </c>
      <c r="E761" s="98">
        <f t="shared" si="0"/>
        <v>0.5</v>
      </c>
    </row>
    <row r="762" spans="1:5" ht="12.6" customHeight="1" x14ac:dyDescent="0.2">
      <c r="A762" s="153" t="s">
        <v>797</v>
      </c>
      <c r="B762" s="151" t="s">
        <v>795</v>
      </c>
      <c r="C762" s="145"/>
      <c r="D762" s="223">
        <f t="shared" si="0"/>
        <v>3.8680000000000003</v>
      </c>
      <c r="E762" s="154">
        <f t="shared" si="0"/>
        <v>3.79</v>
      </c>
    </row>
    <row r="763" spans="1:5" ht="12.6" customHeight="1" x14ac:dyDescent="0.2">
      <c r="A763" s="153" t="s">
        <v>840</v>
      </c>
      <c r="B763" s="104" t="s">
        <v>822</v>
      </c>
      <c r="C763" s="145"/>
      <c r="D763" s="223">
        <f t="shared" ref="D763:E765" si="1">D592</f>
        <v>1.5880000000000001</v>
      </c>
      <c r="E763" s="223">
        <f t="shared" si="1"/>
        <v>1.5649999999999999</v>
      </c>
    </row>
    <row r="764" spans="1:5" ht="36.75" customHeight="1" x14ac:dyDescent="0.2">
      <c r="A764" s="224" t="s">
        <v>841</v>
      </c>
      <c r="B764" s="104" t="s">
        <v>823</v>
      </c>
      <c r="C764" s="225"/>
      <c r="D764" s="223">
        <f t="shared" si="1"/>
        <v>5.2089999999999996</v>
      </c>
      <c r="E764" s="223">
        <f t="shared" si="1"/>
        <v>5.1340000000000003</v>
      </c>
    </row>
    <row r="765" spans="1:5" ht="36.75" customHeight="1" x14ac:dyDescent="0.2">
      <c r="A765" s="224" t="s">
        <v>943</v>
      </c>
      <c r="B765" s="334" t="s">
        <v>872</v>
      </c>
      <c r="C765" s="225"/>
      <c r="D765" s="154">
        <f t="shared" si="1"/>
        <v>1.8</v>
      </c>
      <c r="E765" s="223">
        <f t="shared" si="1"/>
        <v>1.774</v>
      </c>
    </row>
    <row r="766" spans="1:5" ht="12" customHeight="1" x14ac:dyDescent="0.2">
      <c r="A766" s="125" t="s">
        <v>786</v>
      </c>
      <c r="B766" s="126" t="s">
        <v>785</v>
      </c>
      <c r="C766" s="127" t="s">
        <v>332</v>
      </c>
      <c r="D766" s="99">
        <f>D595</f>
        <v>6</v>
      </c>
      <c r="E766" s="98"/>
    </row>
    <row r="767" spans="1:5" ht="12.75" customHeight="1" x14ac:dyDescent="0.2">
      <c r="A767" s="27" t="s">
        <v>757</v>
      </c>
      <c r="B767" s="82" t="s">
        <v>639</v>
      </c>
      <c r="C767" s="28" t="s">
        <v>332</v>
      </c>
      <c r="D767" s="100">
        <f>D596</f>
        <v>220</v>
      </c>
      <c r="E767" s="100"/>
    </row>
    <row r="768" spans="1:5" x14ac:dyDescent="0.2">
      <c r="A768" s="94"/>
      <c r="B768" s="40"/>
      <c r="C768" s="94"/>
      <c r="D768" s="94"/>
      <c r="E768" s="94"/>
    </row>
    <row r="769" spans="1:5" x14ac:dyDescent="0.2">
      <c r="A769" s="94"/>
      <c r="B769" s="94" t="s">
        <v>758</v>
      </c>
      <c r="C769" s="94"/>
      <c r="D769" s="94"/>
      <c r="E769" s="94"/>
    </row>
    <row r="770" spans="1:5" x14ac:dyDescent="0.2">
      <c r="A770" s="94"/>
      <c r="B770" s="94"/>
      <c r="C770" s="94"/>
      <c r="D770" s="94"/>
      <c r="E770" s="94"/>
    </row>
    <row r="771" spans="1:5" x14ac:dyDescent="0.2">
      <c r="A771" s="94"/>
      <c r="B771" s="94"/>
      <c r="C771" s="94"/>
      <c r="D771" s="94"/>
      <c r="E771" s="94"/>
    </row>
    <row r="772" spans="1:5" x14ac:dyDescent="0.2">
      <c r="A772" s="94"/>
      <c r="B772" s="94"/>
      <c r="C772" s="94"/>
      <c r="D772" s="94"/>
      <c r="E772" s="94"/>
    </row>
    <row r="773" spans="1:5" x14ac:dyDescent="0.2">
      <c r="A773" s="94"/>
      <c r="B773" s="94"/>
      <c r="C773" s="94"/>
      <c r="D773" s="94"/>
      <c r="E773" s="94"/>
    </row>
    <row r="774" spans="1:5" x14ac:dyDescent="0.2">
      <c r="A774" s="94"/>
      <c r="B774" s="94"/>
      <c r="C774" s="94"/>
      <c r="D774" s="94"/>
      <c r="E774" s="94"/>
    </row>
    <row r="775" spans="1:5" x14ac:dyDescent="0.2">
      <c r="A775" s="94"/>
      <c r="B775" s="94"/>
      <c r="C775" s="94"/>
      <c r="D775" s="94"/>
      <c r="E775" s="94"/>
    </row>
    <row r="776" spans="1:5" x14ac:dyDescent="0.2">
      <c r="A776" s="94"/>
      <c r="B776" s="94"/>
      <c r="C776" s="94"/>
      <c r="D776" s="94"/>
      <c r="E776" s="94"/>
    </row>
    <row r="777" spans="1:5" x14ac:dyDescent="0.2">
      <c r="A777" s="94"/>
      <c r="B777" s="94"/>
      <c r="C777" s="94"/>
      <c r="D777" s="94"/>
      <c r="E777" s="94"/>
    </row>
    <row r="778" spans="1:5" x14ac:dyDescent="0.2">
      <c r="A778" s="94"/>
      <c r="B778" s="94"/>
      <c r="C778" s="94"/>
      <c r="D778" s="94"/>
      <c r="E778" s="94"/>
    </row>
    <row r="779" spans="1:5" x14ac:dyDescent="0.2">
      <c r="A779" s="94"/>
      <c r="B779" s="94"/>
      <c r="C779" s="94"/>
      <c r="D779" s="94"/>
      <c r="E779" s="94"/>
    </row>
    <row r="780" spans="1:5" x14ac:dyDescent="0.2">
      <c r="A780" s="94"/>
      <c r="B780" s="94"/>
      <c r="C780" s="94"/>
      <c r="D780" s="94"/>
      <c r="E780" s="94"/>
    </row>
    <row r="781" spans="1:5" x14ac:dyDescent="0.2">
      <c r="A781" s="94"/>
      <c r="B781" s="94"/>
      <c r="C781" s="94"/>
      <c r="D781" s="94"/>
      <c r="E781" s="94"/>
    </row>
    <row r="782" spans="1:5" x14ac:dyDescent="0.2">
      <c r="A782" s="94"/>
      <c r="B782" s="94"/>
      <c r="C782" s="94"/>
      <c r="D782" s="94"/>
      <c r="E782" s="94"/>
    </row>
    <row r="783" spans="1:5" x14ac:dyDescent="0.2">
      <c r="A783" s="94"/>
      <c r="B783" s="94"/>
      <c r="C783" s="94"/>
      <c r="D783" s="94"/>
      <c r="E783" s="94"/>
    </row>
    <row r="784" spans="1:5" x14ac:dyDescent="0.2">
      <c r="A784" s="94"/>
      <c r="B784" s="94"/>
      <c r="C784" s="94"/>
      <c r="D784" s="94"/>
      <c r="E784" s="94"/>
    </row>
    <row r="785" spans="1:5" x14ac:dyDescent="0.2">
      <c r="A785" s="94"/>
      <c r="B785" s="94"/>
      <c r="C785" s="94"/>
      <c r="D785" s="94"/>
      <c r="E785" s="94"/>
    </row>
    <row r="786" spans="1:5" x14ac:dyDescent="0.2">
      <c r="A786" s="94"/>
      <c r="B786" s="94"/>
      <c r="C786" s="94"/>
      <c r="D786" s="94"/>
      <c r="E786" s="94"/>
    </row>
    <row r="787" spans="1:5" x14ac:dyDescent="0.2">
      <c r="A787" s="94"/>
      <c r="B787" s="94"/>
      <c r="C787" s="94"/>
      <c r="D787" s="94"/>
      <c r="E787" s="94"/>
    </row>
    <row r="788" spans="1:5" x14ac:dyDescent="0.2">
      <c r="A788" s="94"/>
      <c r="B788" s="94"/>
      <c r="C788" s="94"/>
      <c r="D788" s="94"/>
      <c r="E788" s="94"/>
    </row>
    <row r="789" spans="1:5" x14ac:dyDescent="0.2">
      <c r="A789" s="94"/>
      <c r="B789" s="94"/>
      <c r="C789" s="94"/>
      <c r="D789" s="94"/>
      <c r="E789" s="94"/>
    </row>
  </sheetData>
  <mergeCells count="3">
    <mergeCell ref="A5:E5"/>
    <mergeCell ref="C3:E3"/>
    <mergeCell ref="C4:E4"/>
  </mergeCells>
  <pageMargins left="0.7" right="0.7" top="0.75" bottom="0.75" header="0.3" footer="0.3"/>
  <pageSetup paperSize="9" orientation="portrait" r:id="rId1"/>
  <headerFooter differentFirst="1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FE5B1E9E2AFD3240A9563EFF15ED8DA5" ma:contentTypeVersion="2" ma:contentTypeDescription="Kurkite naują dokumentą." ma:contentTypeScope="" ma:versionID="25121123e11c6d5b1fc0ca471cc81554">
  <xsd:schema xmlns:xsd="http://www.w3.org/2001/XMLSchema" xmlns:xs="http://www.w3.org/2001/XMLSchema" xmlns:p="http://schemas.microsoft.com/office/2006/metadata/properties" xmlns:ns2="a5a4c12e-f368-4730-839e-ddeaee63f466" targetNamespace="http://schemas.microsoft.com/office/2006/metadata/properties" ma:root="true" ma:fieldsID="8677147af2750b192ad457dd6207d708" ns2:_="">
    <xsd:import namespace="a5a4c12e-f368-4730-839e-ddeaee63f4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4c12e-f368-4730-839e-ddeaee63f4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27A44D-0727-428D-816F-963DD4429A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a4c12e-f368-4730-839e-ddeaee63f4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57BEED-E7FB-4F06-AC11-EEE84F13122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B82BB38-CCB4-4964-9EFC-AF58CBFBBE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1 priedas</vt:lpstr>
      <vt:lpstr>3 priedas</vt:lpstr>
      <vt:lpstr>4 priedas</vt:lpstr>
      <vt:lpstr>5 priedas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Gailiuvienė</dc:creator>
  <cp:keywords/>
  <dc:description/>
  <cp:lastModifiedBy>Irena Gailiuvienė</cp:lastModifiedBy>
  <cp:revision/>
  <cp:lastPrinted>2022-06-21T13:34:51Z</cp:lastPrinted>
  <dcterms:created xsi:type="dcterms:W3CDTF">2022-01-05T07:13:39Z</dcterms:created>
  <dcterms:modified xsi:type="dcterms:W3CDTF">2022-06-21T13:39:25Z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0x010100FE5B1E9E2AFD3240A9563EFF15ED8DA5</vt:lpwstr>
  </property>
</Properties>
</file>