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\Vdiskas\Strateginio planavimo ir projektu valdymo skyrius\Bendras Strateginis\1 VARDAI\Vaidos\STRATEGINIS PLANAVIMAS\SVP 2021-2023 m\2021-2023 tikslinimas_2021-12\TS SVP 2021_2023_2021-12-_T11-\"/>
    </mc:Choice>
  </mc:AlternateContent>
  <xr:revisionPtr revIDLastSave="0" documentId="13_ncr:1_{7F865459-73CB-44EC-A452-6A259CF4759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 lentele " sheetId="9" r:id="rId1"/>
    <sheet name="Lapas1" sheetId="10" r:id="rId2"/>
  </sheets>
  <definedNames>
    <definedName name="_xlnm.Print_Area" localSheetId="0">'2 lentele '!$A$1:$X$158</definedName>
    <definedName name="_xlnm.Print_Titles" localSheetId="0">'2 lentele '!$4:$7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0" i="9" l="1"/>
  <c r="N118" i="9"/>
  <c r="O118" i="9"/>
  <c r="N116" i="9"/>
  <c r="O116" i="9"/>
  <c r="N113" i="9"/>
  <c r="O113" i="9"/>
  <c r="N111" i="9"/>
  <c r="O111" i="9"/>
  <c r="N109" i="9"/>
  <c r="O109" i="9"/>
  <c r="N103" i="9"/>
  <c r="O103" i="9"/>
  <c r="N99" i="9"/>
  <c r="O99" i="9"/>
  <c r="T31" i="9" l="1"/>
  <c r="P31" i="9"/>
  <c r="T82" i="9"/>
  <c r="Q82" i="9" s="1"/>
  <c r="P82" i="9"/>
  <c r="R80" i="9"/>
  <c r="T80" i="9"/>
  <c r="N80" i="9"/>
  <c r="P80" i="9"/>
  <c r="Q81" i="9"/>
  <c r="T81" i="9"/>
  <c r="P81" i="9"/>
  <c r="X143" i="9" l="1"/>
  <c r="W143" i="9"/>
  <c r="V143" i="9"/>
  <c r="S143" i="9"/>
  <c r="R143" i="9"/>
  <c r="T60" i="9"/>
  <c r="Q60" i="9" s="1"/>
  <c r="P60" i="9"/>
  <c r="N60" i="9"/>
  <c r="Q59" i="9"/>
  <c r="M59" i="9"/>
  <c r="N76" i="9"/>
  <c r="N101" i="9"/>
  <c r="P137" i="9"/>
  <c r="M137" i="9" s="1"/>
  <c r="P136" i="9"/>
  <c r="M136" i="9" s="1"/>
  <c r="Q138" i="9"/>
  <c r="M60" i="9" l="1"/>
  <c r="O107" i="9"/>
  <c r="X151" i="9" l="1"/>
  <c r="W151" i="9"/>
  <c r="V151" i="9"/>
  <c r="T151" i="9"/>
  <c r="S151" i="9"/>
  <c r="R151" i="9"/>
  <c r="O151" i="9"/>
  <c r="N151" i="9"/>
  <c r="K151" i="9"/>
  <c r="L151" i="9"/>
  <c r="J151" i="9"/>
  <c r="X33" i="9"/>
  <c r="W33" i="9"/>
  <c r="V33" i="9"/>
  <c r="T33" i="9"/>
  <c r="S33" i="9"/>
  <c r="S61" i="9" s="1"/>
  <c r="R33" i="9"/>
  <c r="P33" i="9"/>
  <c r="O33" i="9"/>
  <c r="N33" i="9"/>
  <c r="K33" i="9"/>
  <c r="L33" i="9"/>
  <c r="J33" i="9"/>
  <c r="Q32" i="9"/>
  <c r="P35" i="9"/>
  <c r="P151" i="9" s="1"/>
  <c r="M35" i="9"/>
  <c r="M36" i="9"/>
  <c r="P34" i="9"/>
  <c r="M34" i="9" s="1"/>
  <c r="P103" i="9"/>
  <c r="N120" i="9"/>
  <c r="P101" i="9"/>
  <c r="O120" i="9" l="1"/>
  <c r="O143" i="9" s="1"/>
  <c r="N56" i="9" l="1"/>
  <c r="T58" i="9" l="1"/>
  <c r="Q58" i="9" s="1"/>
  <c r="P58" i="9"/>
  <c r="M58" i="9"/>
  <c r="Q57" i="9"/>
  <c r="M57" i="9"/>
  <c r="P118" i="9"/>
  <c r="P119" i="9" s="1"/>
  <c r="M113" i="9"/>
  <c r="M109" i="9"/>
  <c r="N105" i="9"/>
  <c r="M105" i="9" s="1"/>
  <c r="M99" i="9"/>
  <c r="T143" i="9"/>
  <c r="N73" i="9"/>
  <c r="M73" i="9" s="1"/>
  <c r="T56" i="9"/>
  <c r="Q56" i="9"/>
  <c r="P56" i="9"/>
  <c r="M56" i="9" s="1"/>
  <c r="Q55" i="9"/>
  <c r="M55" i="9"/>
  <c r="P120" i="9"/>
  <c r="P143" i="9" s="1"/>
  <c r="M101" i="9"/>
  <c r="M118" i="9"/>
  <c r="P50" i="9"/>
  <c r="M50" i="9" s="1"/>
  <c r="M49" i="9"/>
  <c r="M31" i="9"/>
  <c r="M85" i="9"/>
  <c r="M84" i="9"/>
  <c r="P89" i="9"/>
  <c r="M89" i="9" s="1"/>
  <c r="N107" i="9"/>
  <c r="M107" i="9" l="1"/>
  <c r="N143" i="9"/>
  <c r="Q80" i="9"/>
  <c r="M120" i="9"/>
  <c r="O148" i="9"/>
  <c r="P148" i="9"/>
  <c r="N148" i="9"/>
  <c r="X90" i="9"/>
  <c r="U90" i="9" s="1"/>
  <c r="V90" i="9"/>
  <c r="T90" i="9"/>
  <c r="R90" i="9"/>
  <c r="P90" i="9"/>
  <c r="N90" i="9"/>
  <c r="L90" i="9"/>
  <c r="K90" i="9"/>
  <c r="J90" i="9"/>
  <c r="I90" i="9" l="1"/>
  <c r="Q90" i="9"/>
  <c r="M143" i="9"/>
  <c r="M90" i="9"/>
  <c r="P153" i="9"/>
  <c r="O153" i="9"/>
  <c r="N153" i="9"/>
  <c r="P135" i="9"/>
  <c r="M42" i="9"/>
  <c r="N121" i="9"/>
  <c r="P121" i="9"/>
  <c r="M121" i="9" l="1"/>
  <c r="M153" i="9"/>
  <c r="O150" i="9"/>
  <c r="P150" i="9"/>
  <c r="N150" i="9"/>
  <c r="X88" i="9"/>
  <c r="V88" i="9"/>
  <c r="U88" i="9" s="1"/>
  <c r="T88" i="9"/>
  <c r="R88" i="9"/>
  <c r="P88" i="9"/>
  <c r="N88" i="9"/>
  <c r="L88" i="9"/>
  <c r="K88" i="9"/>
  <c r="J88" i="9"/>
  <c r="M150" i="9" l="1"/>
  <c r="I88" i="9"/>
  <c r="M88" i="9"/>
  <c r="Q88" i="9"/>
  <c r="M156" i="9"/>
  <c r="N156" i="9"/>
  <c r="O156" i="9"/>
  <c r="P156" i="9"/>
  <c r="J156" i="9"/>
  <c r="K156" i="9"/>
  <c r="L156" i="9"/>
  <c r="I156" i="9"/>
  <c r="M155" i="9"/>
  <c r="N155" i="9"/>
  <c r="O155" i="9"/>
  <c r="P155" i="9"/>
  <c r="J155" i="9"/>
  <c r="K155" i="9"/>
  <c r="L155" i="9"/>
  <c r="I155" i="9"/>
  <c r="P18" i="9" l="1"/>
  <c r="M18" i="9" s="1"/>
  <c r="L18" i="9"/>
  <c r="I18" i="9" s="1"/>
  <c r="X24" i="9"/>
  <c r="U24" i="9" s="1"/>
  <c r="T24" i="9"/>
  <c r="Q24" i="9" s="1"/>
  <c r="P24" i="9"/>
  <c r="M24" i="9" s="1"/>
  <c r="L24" i="9"/>
  <c r="I24" i="9" s="1"/>
  <c r="U23" i="9"/>
  <c r="Q23" i="9"/>
  <c r="X22" i="9"/>
  <c r="U22" i="9" s="1"/>
  <c r="T22" i="9"/>
  <c r="Q22" i="9"/>
  <c r="P22" i="9"/>
  <c r="M22" i="9" s="1"/>
  <c r="L22" i="9"/>
  <c r="I22" i="9" s="1"/>
  <c r="U21" i="9"/>
  <c r="Q21" i="9"/>
  <c r="X20" i="9"/>
  <c r="U20" i="9" s="1"/>
  <c r="T20" i="9"/>
  <c r="Q20" i="9" s="1"/>
  <c r="P20" i="9"/>
  <c r="M20" i="9" s="1"/>
  <c r="L20" i="9"/>
  <c r="I20" i="9" s="1"/>
  <c r="U19" i="9"/>
  <c r="Q19" i="9"/>
  <c r="X26" i="9"/>
  <c r="U26" i="9" s="1"/>
  <c r="T26" i="9"/>
  <c r="Q26" i="9" s="1"/>
  <c r="P26" i="9"/>
  <c r="M26" i="9" s="1"/>
  <c r="L26" i="9"/>
  <c r="I26" i="9" s="1"/>
  <c r="U25" i="9"/>
  <c r="Q25" i="9"/>
  <c r="X18" i="9"/>
  <c r="U18" i="9" s="1"/>
  <c r="T18" i="9"/>
  <c r="Q18" i="9" s="1"/>
  <c r="U16" i="9"/>
  <c r="Q16" i="9"/>
  <c r="I67" i="9" l="1"/>
  <c r="I78" i="9" l="1"/>
  <c r="J149" i="9"/>
  <c r="J75" i="9"/>
  <c r="J143" i="9"/>
  <c r="J144" i="9"/>
  <c r="W148" i="9"/>
  <c r="X148" i="9"/>
  <c r="V148" i="9"/>
  <c r="S148" i="9"/>
  <c r="T148" i="9"/>
  <c r="R148" i="9"/>
  <c r="K148" i="9"/>
  <c r="L148" i="9"/>
  <c r="J148" i="9"/>
  <c r="K38" i="9"/>
  <c r="L38" i="9"/>
  <c r="J38" i="9"/>
  <c r="M103" i="9" l="1"/>
  <c r="N154" i="9" l="1"/>
  <c r="P38" i="9" l="1"/>
  <c r="M38" i="9" s="1"/>
  <c r="P139" i="9" l="1"/>
  <c r="N139" i="9"/>
  <c r="P154" i="9"/>
  <c r="M154" i="9" s="1"/>
  <c r="O154" i="9"/>
  <c r="O157" i="9" l="1"/>
  <c r="P48" i="9" l="1"/>
  <c r="M48" i="9" s="1"/>
  <c r="P117" i="9" l="1"/>
  <c r="M116" i="9"/>
  <c r="U120" i="9"/>
  <c r="U118" i="9"/>
  <c r="U116" i="9"/>
  <c r="Q120" i="9"/>
  <c r="Q118" i="9"/>
  <c r="Q116" i="9"/>
  <c r="U113" i="9"/>
  <c r="U111" i="9"/>
  <c r="U109" i="9"/>
  <c r="U107" i="9"/>
  <c r="U105" i="9"/>
  <c r="U103" i="9"/>
  <c r="U101" i="9"/>
  <c r="U99" i="9"/>
  <c r="Q113" i="9"/>
  <c r="Q111" i="9"/>
  <c r="Q109" i="9"/>
  <c r="Q107" i="9"/>
  <c r="Q105" i="9"/>
  <c r="Q103" i="9"/>
  <c r="Q101" i="9"/>
  <c r="Q99" i="9"/>
  <c r="X152" i="9" l="1"/>
  <c r="W152" i="9"/>
  <c r="V152" i="9"/>
  <c r="T152" i="9"/>
  <c r="S152" i="9"/>
  <c r="R152" i="9"/>
  <c r="P152" i="9"/>
  <c r="O152" i="9"/>
  <c r="N152" i="9"/>
  <c r="K152" i="9"/>
  <c r="L152" i="9"/>
  <c r="J152" i="9"/>
  <c r="K143" i="9"/>
  <c r="O48" i="9"/>
  <c r="Q47" i="9"/>
  <c r="I47" i="9"/>
  <c r="M151" i="9" l="1"/>
  <c r="U151" i="9"/>
  <c r="I151" i="9"/>
  <c r="M152" i="9"/>
  <c r="Q151" i="9"/>
  <c r="Q152" i="9"/>
  <c r="P42" i="9"/>
  <c r="O135" i="9" l="1"/>
  <c r="N135" i="9"/>
  <c r="X139" i="9"/>
  <c r="V139" i="9"/>
  <c r="T139" i="9"/>
  <c r="R139" i="9"/>
  <c r="L139" i="9"/>
  <c r="U136" i="9"/>
  <c r="Q136" i="9"/>
  <c r="U139" i="9" l="1"/>
  <c r="M139" i="9"/>
  <c r="Q139" i="9"/>
  <c r="M138" i="9"/>
  <c r="I138" i="9"/>
  <c r="I136" i="9"/>
  <c r="M133" i="9"/>
  <c r="Q31" i="9" l="1"/>
  <c r="X146" i="9" l="1"/>
  <c r="W146" i="9"/>
  <c r="V146" i="9"/>
  <c r="T146" i="9"/>
  <c r="S146" i="9"/>
  <c r="R146" i="9"/>
  <c r="P146" i="9"/>
  <c r="O146" i="9"/>
  <c r="N146" i="9"/>
  <c r="K146" i="9"/>
  <c r="L146" i="9"/>
  <c r="J146" i="9"/>
  <c r="T54" i="9"/>
  <c r="X150" i="9"/>
  <c r="W150" i="9"/>
  <c r="V150" i="9"/>
  <c r="T150" i="9"/>
  <c r="S150" i="9"/>
  <c r="R150" i="9"/>
  <c r="K150" i="9"/>
  <c r="L150" i="9"/>
  <c r="J150" i="9"/>
  <c r="X135" i="9"/>
  <c r="T135" i="9"/>
  <c r="Q132" i="9"/>
  <c r="Q143" i="9" l="1"/>
  <c r="U143" i="9"/>
  <c r="M82" i="9"/>
  <c r="M81" i="9"/>
  <c r="Q54" i="9"/>
  <c r="Q53" i="9"/>
  <c r="M53" i="9"/>
  <c r="X71" i="9"/>
  <c r="W71" i="9"/>
  <c r="T71" i="9"/>
  <c r="S71" i="9"/>
  <c r="W61" i="9"/>
  <c r="O61" i="9"/>
  <c r="J52" i="9"/>
  <c r="K52" i="9"/>
  <c r="P52" i="9"/>
  <c r="M52" i="9" s="1"/>
  <c r="T52" i="9"/>
  <c r="Q52" i="9" s="1"/>
  <c r="X52" i="9"/>
  <c r="U52" i="9" s="1"/>
  <c r="X42" i="9"/>
  <c r="T42" i="9"/>
  <c r="U41" i="9"/>
  <c r="W27" i="9"/>
  <c r="S27" i="9"/>
  <c r="O27" i="9"/>
  <c r="R66" i="9" l="1"/>
  <c r="Q65" i="9"/>
  <c r="Q66" i="9" l="1"/>
  <c r="R71" i="9"/>
  <c r="U150" i="9"/>
  <c r="X149" i="9"/>
  <c r="V149" i="9"/>
  <c r="X147" i="9"/>
  <c r="W147" i="9"/>
  <c r="V147" i="9"/>
  <c r="X145" i="9"/>
  <c r="W145" i="9"/>
  <c r="V145" i="9"/>
  <c r="U145" i="9"/>
  <c r="X144" i="9"/>
  <c r="W144" i="9"/>
  <c r="V144" i="9"/>
  <c r="U144" i="9"/>
  <c r="U135" i="9"/>
  <c r="X130" i="9"/>
  <c r="V130" i="9"/>
  <c r="W121" i="9"/>
  <c r="V121" i="9"/>
  <c r="U121" i="9" s="1"/>
  <c r="W119" i="9"/>
  <c r="V119" i="9"/>
  <c r="U119" i="9" s="1"/>
  <c r="W117" i="9"/>
  <c r="V117" i="9"/>
  <c r="U117" i="9" s="1"/>
  <c r="X115" i="9"/>
  <c r="W115" i="9"/>
  <c r="V115" i="9"/>
  <c r="U114" i="9"/>
  <c r="X112" i="9"/>
  <c r="W112" i="9"/>
  <c r="V112" i="9"/>
  <c r="X110" i="9"/>
  <c r="W110" i="9"/>
  <c r="V110" i="9"/>
  <c r="X108" i="9"/>
  <c r="W108" i="9"/>
  <c r="V108" i="9"/>
  <c r="X106" i="9"/>
  <c r="W106" i="9"/>
  <c r="V106" i="9"/>
  <c r="X104" i="9"/>
  <c r="W104" i="9"/>
  <c r="V104" i="9"/>
  <c r="X102" i="9"/>
  <c r="W102" i="9"/>
  <c r="V102" i="9"/>
  <c r="X100" i="9"/>
  <c r="W100" i="9"/>
  <c r="V100" i="9"/>
  <c r="X96" i="9"/>
  <c r="W96" i="9"/>
  <c r="V96" i="9"/>
  <c r="U95" i="9"/>
  <c r="X94" i="9"/>
  <c r="W94" i="9"/>
  <c r="V94" i="9"/>
  <c r="U93" i="9"/>
  <c r="X86" i="9"/>
  <c r="V86" i="9"/>
  <c r="U86" i="9"/>
  <c r="X83" i="9"/>
  <c r="W83" i="9"/>
  <c r="W91" i="9" s="1"/>
  <c r="V83" i="9"/>
  <c r="U80" i="9"/>
  <c r="U79" i="9"/>
  <c r="X77" i="9"/>
  <c r="V77" i="9"/>
  <c r="X75" i="9"/>
  <c r="V75" i="9"/>
  <c r="V66" i="9"/>
  <c r="U65" i="9"/>
  <c r="V42" i="9"/>
  <c r="V61" i="9" s="1"/>
  <c r="X38" i="9"/>
  <c r="U34" i="9"/>
  <c r="U33" i="9"/>
  <c r="U31" i="9"/>
  <c r="X15" i="9"/>
  <c r="U14" i="9"/>
  <c r="V13" i="9"/>
  <c r="V27" i="9" s="1"/>
  <c r="V91" i="9" l="1"/>
  <c r="X91" i="9"/>
  <c r="V140" i="9"/>
  <c r="X140" i="9"/>
  <c r="W140" i="9"/>
  <c r="W141" i="9" s="1"/>
  <c r="V158" i="9"/>
  <c r="W158" i="9"/>
  <c r="X158" i="9"/>
  <c r="U66" i="9"/>
  <c r="V71" i="9"/>
  <c r="U71" i="9" s="1"/>
  <c r="X61" i="9"/>
  <c r="U42" i="9"/>
  <c r="U15" i="9"/>
  <c r="X27" i="9"/>
  <c r="U148" i="9"/>
  <c r="U94" i="9"/>
  <c r="U112" i="9"/>
  <c r="U115" i="9"/>
  <c r="U147" i="9"/>
  <c r="U83" i="9"/>
  <c r="U77" i="9"/>
  <c r="U100" i="9"/>
  <c r="U108" i="9"/>
  <c r="U38" i="9"/>
  <c r="U96" i="9"/>
  <c r="U106" i="9"/>
  <c r="U104" i="9"/>
  <c r="U102" i="9"/>
  <c r="U110" i="9"/>
  <c r="U13" i="9"/>
  <c r="U146" i="9"/>
  <c r="W62" i="9"/>
  <c r="V62" i="9"/>
  <c r="U75" i="9"/>
  <c r="U130" i="9"/>
  <c r="U91" i="9" l="1"/>
  <c r="X141" i="9"/>
  <c r="V141" i="9"/>
  <c r="V142" i="9" s="1"/>
  <c r="V160" i="9" s="1"/>
  <c r="U140" i="9"/>
  <c r="U158" i="9"/>
  <c r="X62" i="9"/>
  <c r="U62" i="9" s="1"/>
  <c r="U27" i="9"/>
  <c r="U61" i="9"/>
  <c r="W142" i="9"/>
  <c r="W160" i="9" s="1"/>
  <c r="R42" i="9"/>
  <c r="R61" i="9" s="1"/>
  <c r="P54" i="9"/>
  <c r="U141" i="9" l="1"/>
  <c r="M54" i="9"/>
  <c r="Q42" i="9"/>
  <c r="X142" i="9"/>
  <c r="X160" i="9" s="1"/>
  <c r="U142" i="9" l="1"/>
  <c r="U160" i="9" s="1"/>
  <c r="L45" i="9"/>
  <c r="L143" i="9" s="1"/>
  <c r="L52" i="9" l="1"/>
  <c r="I85" i="9"/>
  <c r="I43" i="9"/>
  <c r="I52" i="9" l="1"/>
  <c r="M132" i="9"/>
  <c r="M135" i="9" s="1"/>
  <c r="R86" i="9" l="1"/>
  <c r="N86" i="9"/>
  <c r="J86" i="9"/>
  <c r="I109" i="9" l="1"/>
  <c r="I105" i="9"/>
  <c r="I101" i="9"/>
  <c r="I143" i="9" l="1"/>
  <c r="I131" i="9"/>
  <c r="I74" i="9" l="1"/>
  <c r="I120" i="9" l="1"/>
  <c r="I118" i="9"/>
  <c r="I116" i="9"/>
  <c r="I81" i="9"/>
  <c r="K70" i="9"/>
  <c r="I69" i="9"/>
  <c r="J135" i="9" l="1"/>
  <c r="K135" i="9"/>
  <c r="K139" i="9" l="1"/>
  <c r="J139" i="9"/>
  <c r="I139" i="9" s="1"/>
  <c r="I113" i="9"/>
  <c r="I107" i="9"/>
  <c r="P145" i="9" l="1"/>
  <c r="O145" i="9"/>
  <c r="N145" i="9"/>
  <c r="M145" i="9"/>
  <c r="I132" i="9"/>
  <c r="I133" i="9"/>
  <c r="R147" i="9"/>
  <c r="S147" i="9"/>
  <c r="T147" i="9"/>
  <c r="N147" i="9"/>
  <c r="O147" i="9"/>
  <c r="P147" i="9"/>
  <c r="J147" i="9"/>
  <c r="L147" i="9"/>
  <c r="K147" i="9"/>
  <c r="I103" i="9"/>
  <c r="I99" i="9"/>
  <c r="M111" i="9" l="1"/>
  <c r="I111" i="9"/>
  <c r="I82" i="9" l="1"/>
  <c r="Q76" i="9"/>
  <c r="M76" i="9"/>
  <c r="N70" i="9" l="1"/>
  <c r="N71" i="9" s="1"/>
  <c r="O70" i="9"/>
  <c r="O71" i="9" s="1"/>
  <c r="P70" i="9"/>
  <c r="P71" i="9" s="1"/>
  <c r="T86" i="9"/>
  <c r="Q86" i="9"/>
  <c r="P86" i="9"/>
  <c r="M86" i="9" l="1"/>
  <c r="M70" i="9"/>
  <c r="I86" i="9"/>
  <c r="L86" i="9"/>
  <c r="Q144" i="9"/>
  <c r="R144" i="9"/>
  <c r="S144" i="9"/>
  <c r="T144" i="9"/>
  <c r="M144" i="9"/>
  <c r="N144" i="9"/>
  <c r="O144" i="9"/>
  <c r="O158" i="9" s="1"/>
  <c r="P144" i="9"/>
  <c r="I144" i="9"/>
  <c r="K144" i="9"/>
  <c r="L144" i="9"/>
  <c r="S121" i="9"/>
  <c r="R121" i="9"/>
  <c r="Q121" i="9" s="1"/>
  <c r="O121" i="9"/>
  <c r="K121" i="9"/>
  <c r="J121" i="9"/>
  <c r="L119" i="9"/>
  <c r="K119" i="9"/>
  <c r="J119" i="9"/>
  <c r="K117" i="9"/>
  <c r="J117" i="9"/>
  <c r="K115" i="9"/>
  <c r="J115" i="9"/>
  <c r="I114" i="9"/>
  <c r="K112" i="9"/>
  <c r="J112" i="9"/>
  <c r="K108" i="9"/>
  <c r="J108" i="9"/>
  <c r="L106" i="9"/>
  <c r="K106" i="9"/>
  <c r="J106" i="9"/>
  <c r="K104" i="9"/>
  <c r="J104" i="9"/>
  <c r="K102" i="9"/>
  <c r="J102" i="9"/>
  <c r="K100" i="9"/>
  <c r="J100" i="9"/>
  <c r="I106" i="9" l="1"/>
  <c r="I119" i="9"/>
  <c r="Q150" i="9"/>
  <c r="T149" i="9"/>
  <c r="R149" i="9"/>
  <c r="T145" i="9"/>
  <c r="S145" i="9"/>
  <c r="S158" i="9" s="1"/>
  <c r="R145" i="9"/>
  <c r="R158" i="9" s="1"/>
  <c r="Q145" i="9"/>
  <c r="Q135" i="9"/>
  <c r="T130" i="9"/>
  <c r="R130" i="9"/>
  <c r="T123" i="9"/>
  <c r="S123" i="9"/>
  <c r="R123" i="9"/>
  <c r="S119" i="9"/>
  <c r="R119" i="9"/>
  <c r="S117" i="9"/>
  <c r="R117" i="9"/>
  <c r="Q117" i="9" s="1"/>
  <c r="T115" i="9"/>
  <c r="S115" i="9"/>
  <c r="R115" i="9"/>
  <c r="Q114" i="9"/>
  <c r="T112" i="9"/>
  <c r="S112" i="9"/>
  <c r="R112" i="9"/>
  <c r="T110" i="9"/>
  <c r="S110" i="9"/>
  <c r="R110" i="9"/>
  <c r="T108" i="9"/>
  <c r="S108" i="9"/>
  <c r="R108" i="9"/>
  <c r="T106" i="9"/>
  <c r="S106" i="9"/>
  <c r="R106" i="9"/>
  <c r="T104" i="9"/>
  <c r="S104" i="9"/>
  <c r="R104" i="9"/>
  <c r="T102" i="9"/>
  <c r="S102" i="9"/>
  <c r="R102" i="9"/>
  <c r="T100" i="9"/>
  <c r="S100" i="9"/>
  <c r="R100" i="9"/>
  <c r="T96" i="9"/>
  <c r="S96" i="9"/>
  <c r="R96" i="9"/>
  <c r="Q95" i="9"/>
  <c r="T94" i="9"/>
  <c r="S94" i="9"/>
  <c r="R94" i="9"/>
  <c r="Q93" i="9"/>
  <c r="T83" i="9"/>
  <c r="S83" i="9"/>
  <c r="S91" i="9" s="1"/>
  <c r="R83" i="9"/>
  <c r="Q79" i="9"/>
  <c r="T77" i="9"/>
  <c r="R77" i="9"/>
  <c r="T75" i="9"/>
  <c r="R75" i="9"/>
  <c r="T50" i="9"/>
  <c r="Q49" i="9"/>
  <c r="T48" i="9"/>
  <c r="Q48" i="9" s="1"/>
  <c r="Q45" i="9"/>
  <c r="T40" i="9"/>
  <c r="Q40" i="9" s="1"/>
  <c r="Q39" i="9"/>
  <c r="T38" i="9"/>
  <c r="Q38" i="9" s="1"/>
  <c r="Q34" i="9"/>
  <c r="Q33" i="9"/>
  <c r="T15" i="9"/>
  <c r="T27" i="9" s="1"/>
  <c r="Q14" i="9"/>
  <c r="R13" i="9"/>
  <c r="R27" i="9" s="1"/>
  <c r="T61" i="9" l="1"/>
  <c r="T158" i="9"/>
  <c r="R91" i="9"/>
  <c r="T91" i="9"/>
  <c r="R140" i="9"/>
  <c r="T140" i="9"/>
  <c r="S140" i="9"/>
  <c r="S141" i="9" s="1"/>
  <c r="Q15" i="9"/>
  <c r="Q13" i="9"/>
  <c r="Q119" i="9"/>
  <c r="Q50" i="9"/>
  <c r="Q130" i="9"/>
  <c r="Q147" i="9"/>
  <c r="S62" i="9"/>
  <c r="Q83" i="9"/>
  <c r="Q94" i="9"/>
  <c r="Q100" i="9"/>
  <c r="Q102" i="9"/>
  <c r="Q104" i="9"/>
  <c r="Q106" i="9"/>
  <c r="Q77" i="9"/>
  <c r="Q112" i="9"/>
  <c r="Q71" i="9"/>
  <c r="Q115" i="9"/>
  <c r="Q123" i="9"/>
  <c r="Q96" i="9"/>
  <c r="Q108" i="9"/>
  <c r="Q110" i="9"/>
  <c r="Q146" i="9"/>
  <c r="Q148" i="9"/>
  <c r="Q75" i="9"/>
  <c r="J70" i="9"/>
  <c r="Q140" i="9" l="1"/>
  <c r="Q91" i="9"/>
  <c r="Q27" i="9"/>
  <c r="R141" i="9"/>
  <c r="Q158" i="9"/>
  <c r="S142" i="9"/>
  <c r="S160" i="9" s="1"/>
  <c r="Q61" i="9"/>
  <c r="T141" i="9"/>
  <c r="T62" i="9"/>
  <c r="R62" i="9"/>
  <c r="T142" i="9" l="1"/>
  <c r="T160" i="9" s="1"/>
  <c r="Q141" i="9"/>
  <c r="Q62" i="9"/>
  <c r="R142" i="9"/>
  <c r="Q142" i="9" l="1"/>
  <c r="Q160" i="9" s="1"/>
  <c r="R160" i="9"/>
  <c r="P15" i="9" l="1"/>
  <c r="P27" i="9" s="1"/>
  <c r="L15" i="9"/>
  <c r="I14" i="9"/>
  <c r="M15" i="9" l="1"/>
  <c r="I15" i="9"/>
  <c r="L135" i="9"/>
  <c r="I146" i="9" l="1"/>
  <c r="M146" i="9"/>
  <c r="L157" i="9" l="1"/>
  <c r="P149" i="9" l="1"/>
  <c r="P158" i="9" s="1"/>
  <c r="N149" i="9"/>
  <c r="N158" i="9" s="1"/>
  <c r="I150" i="9"/>
  <c r="L149" i="9"/>
  <c r="I148" i="9"/>
  <c r="K145" i="9"/>
  <c r="K158" i="9" s="1"/>
  <c r="L145" i="9"/>
  <c r="J145" i="9"/>
  <c r="J158" i="9" s="1"/>
  <c r="I145" i="9"/>
  <c r="I79" i="9"/>
  <c r="M79" i="9"/>
  <c r="M45" i="9"/>
  <c r="I45" i="9"/>
  <c r="N77" i="9"/>
  <c r="L50" i="9"/>
  <c r="N42" i="9"/>
  <c r="N61" i="9" s="1"/>
  <c r="N130" i="9"/>
  <c r="P123" i="9"/>
  <c r="O123" i="9"/>
  <c r="N123" i="9"/>
  <c r="O119" i="9"/>
  <c r="N119" i="9"/>
  <c r="O117" i="9"/>
  <c r="N117" i="9"/>
  <c r="M117" i="9" s="1"/>
  <c r="M114" i="9"/>
  <c r="O112" i="9"/>
  <c r="N112" i="9"/>
  <c r="O110" i="9"/>
  <c r="N110" i="9"/>
  <c r="O108" i="9"/>
  <c r="N108" i="9"/>
  <c r="O106" i="9"/>
  <c r="N106" i="9"/>
  <c r="O104" i="9"/>
  <c r="N104" i="9"/>
  <c r="O102" i="9"/>
  <c r="N102" i="9"/>
  <c r="O100" i="9"/>
  <c r="N100" i="9"/>
  <c r="P100" i="9"/>
  <c r="P102" i="9"/>
  <c r="P104" i="9"/>
  <c r="P106" i="9"/>
  <c r="P108" i="9"/>
  <c r="P110" i="9"/>
  <c r="P112" i="9"/>
  <c r="N115" i="9"/>
  <c r="O115" i="9"/>
  <c r="P115" i="9"/>
  <c r="N75" i="9"/>
  <c r="M39" i="9"/>
  <c r="M40" i="9"/>
  <c r="N13" i="9"/>
  <c r="N27" i="9" s="1"/>
  <c r="L66" i="9"/>
  <c r="K66" i="9"/>
  <c r="K71" i="9" s="1"/>
  <c r="J66" i="9"/>
  <c r="J71" i="9" s="1"/>
  <c r="I65" i="9"/>
  <c r="L44" i="9"/>
  <c r="I44" i="9"/>
  <c r="L40" i="9"/>
  <c r="K40" i="9"/>
  <c r="J40" i="9"/>
  <c r="I39" i="9"/>
  <c r="P130" i="9"/>
  <c r="P96" i="9"/>
  <c r="O96" i="9"/>
  <c r="N96" i="9"/>
  <c r="M95" i="9"/>
  <c r="P94" i="9"/>
  <c r="O94" i="9"/>
  <c r="N94" i="9"/>
  <c r="M93" i="9"/>
  <c r="P83" i="9"/>
  <c r="O83" i="9"/>
  <c r="O91" i="9" s="1"/>
  <c r="N83" i="9"/>
  <c r="M80" i="9"/>
  <c r="P77" i="9"/>
  <c r="P75" i="9"/>
  <c r="I93" i="9"/>
  <c r="L96" i="9"/>
  <c r="K96" i="9"/>
  <c r="J96" i="9"/>
  <c r="I95" i="9"/>
  <c r="L94" i="9"/>
  <c r="K94" i="9"/>
  <c r="J94" i="9"/>
  <c r="L13" i="9"/>
  <c r="L27" i="9" s="1"/>
  <c r="K13" i="9"/>
  <c r="K27" i="9" s="1"/>
  <c r="J13" i="9"/>
  <c r="J27" i="9" s="1"/>
  <c r="L48" i="9"/>
  <c r="I48" i="9" s="1"/>
  <c r="L123" i="9"/>
  <c r="K123" i="9"/>
  <c r="J123" i="9"/>
  <c r="L70" i="9"/>
  <c r="I135" i="9"/>
  <c r="I129" i="9"/>
  <c r="I128" i="9"/>
  <c r="I127" i="9"/>
  <c r="I126" i="9"/>
  <c r="I125" i="9"/>
  <c r="I124" i="9"/>
  <c r="L83" i="9"/>
  <c r="K83" i="9"/>
  <c r="J83" i="9"/>
  <c r="L77" i="9"/>
  <c r="K77" i="9"/>
  <c r="J77" i="9"/>
  <c r="L130" i="9"/>
  <c r="K130" i="9"/>
  <c r="J130" i="9"/>
  <c r="L121" i="9"/>
  <c r="I121" i="9" s="1"/>
  <c r="L117" i="9"/>
  <c r="L115" i="9"/>
  <c r="I115" i="9" s="1"/>
  <c r="L112" i="9"/>
  <c r="I112" i="9" s="1"/>
  <c r="L110" i="9"/>
  <c r="K110" i="9"/>
  <c r="J110" i="9"/>
  <c r="L108" i="9"/>
  <c r="I108" i="9" s="1"/>
  <c r="L104" i="9"/>
  <c r="I104" i="9" s="1"/>
  <c r="L102" i="9"/>
  <c r="I102" i="9" s="1"/>
  <c r="L100" i="9"/>
  <c r="I100" i="9" s="1"/>
  <c r="L75" i="9"/>
  <c r="K75" i="9"/>
  <c r="L42" i="9"/>
  <c r="K42" i="9"/>
  <c r="J42" i="9"/>
  <c r="N91" i="9" l="1"/>
  <c r="P91" i="9"/>
  <c r="M33" i="9"/>
  <c r="P61" i="9"/>
  <c r="P140" i="9"/>
  <c r="L61" i="9"/>
  <c r="L62" i="9" s="1"/>
  <c r="L158" i="9"/>
  <c r="J91" i="9"/>
  <c r="K91" i="9"/>
  <c r="L91" i="9"/>
  <c r="J61" i="9"/>
  <c r="J140" i="9"/>
  <c r="M104" i="9"/>
  <c r="L140" i="9"/>
  <c r="O140" i="9"/>
  <c r="O141" i="9" s="1"/>
  <c r="K140" i="9"/>
  <c r="N140" i="9"/>
  <c r="K61" i="9"/>
  <c r="I70" i="9"/>
  <c r="L71" i="9"/>
  <c r="I149" i="9"/>
  <c r="M119" i="9"/>
  <c r="I117" i="9"/>
  <c r="M13" i="9"/>
  <c r="L97" i="9"/>
  <c r="I97" i="9" s="1"/>
  <c r="M71" i="9"/>
  <c r="M106" i="9"/>
  <c r="M102" i="9"/>
  <c r="I50" i="9"/>
  <c r="M96" i="9"/>
  <c r="M100" i="9"/>
  <c r="M108" i="9"/>
  <c r="M123" i="9"/>
  <c r="I38" i="9"/>
  <c r="I96" i="9"/>
  <c r="I83" i="9"/>
  <c r="I147" i="9"/>
  <c r="I123" i="9"/>
  <c r="I110" i="9"/>
  <c r="I77" i="9"/>
  <c r="I33" i="9"/>
  <c r="M77" i="9"/>
  <c r="I40" i="9"/>
  <c r="M112" i="9"/>
  <c r="M147" i="9"/>
  <c r="M115" i="9"/>
  <c r="M110" i="9"/>
  <c r="O62" i="9"/>
  <c r="M83" i="9"/>
  <c r="M94" i="9"/>
  <c r="I66" i="9"/>
  <c r="M148" i="9"/>
  <c r="I42" i="9"/>
  <c r="I13" i="9"/>
  <c r="M75" i="9"/>
  <c r="M130" i="9"/>
  <c r="I75" i="9"/>
  <c r="I130" i="9"/>
  <c r="I94" i="9"/>
  <c r="M91" i="9" l="1"/>
  <c r="M61" i="9"/>
  <c r="P62" i="9"/>
  <c r="J141" i="9"/>
  <c r="M140" i="9"/>
  <c r="I158" i="9"/>
  <c r="I140" i="9"/>
  <c r="I61" i="9"/>
  <c r="L141" i="9"/>
  <c r="K141" i="9"/>
  <c r="M158" i="9"/>
  <c r="I91" i="9"/>
  <c r="P141" i="9"/>
  <c r="K62" i="9"/>
  <c r="I71" i="9"/>
  <c r="J62" i="9"/>
  <c r="O142" i="9"/>
  <c r="M27" i="9"/>
  <c r="I27" i="9" s="1"/>
  <c r="N141" i="9"/>
  <c r="N62" i="9"/>
  <c r="P142" i="9" l="1"/>
  <c r="I62" i="9"/>
  <c r="K142" i="9"/>
  <c r="K160" i="9" s="1"/>
  <c r="M141" i="9"/>
  <c r="J142" i="9"/>
  <c r="M62" i="9"/>
  <c r="N142" i="9"/>
  <c r="I141" i="9"/>
  <c r="L142" i="9" l="1"/>
  <c r="I142" i="9" s="1"/>
  <c r="I160" i="9" s="1"/>
  <c r="M142" i="9"/>
  <c r="L160" i="9" l="1"/>
</calcChain>
</file>

<file path=xl/sharedStrings.xml><?xml version="1.0" encoding="utf-8"?>
<sst xmlns="http://schemas.openxmlformats.org/spreadsheetml/2006/main" count="355" uniqueCount="174">
  <si>
    <t>Programos tikslo kodas</t>
  </si>
  <si>
    <t>Uždavinio kodas</t>
  </si>
  <si>
    <t>Priemonės kodas</t>
  </si>
  <si>
    <t>Funkcinės klasifikacijos kodas</t>
  </si>
  <si>
    <t>Finansavimo šaltinis</t>
  </si>
  <si>
    <t>išlaidoms</t>
  </si>
  <si>
    <t>iš viso</t>
  </si>
  <si>
    <t>turtui įsigyti</t>
  </si>
  <si>
    <t xml:space="preserve">iš jų darbo užmokesčiui                    </t>
  </si>
  <si>
    <t>Iš viso uždaviniui:</t>
  </si>
  <si>
    <t>Iš viso tikslui:</t>
  </si>
  <si>
    <t>Iš viso priemonei:</t>
  </si>
  <si>
    <t>iš jų</t>
  </si>
  <si>
    <t>IŠ VISO:</t>
  </si>
  <si>
    <t>SB</t>
  </si>
  <si>
    <t>Mažinti taršos poveikį aplinkai</t>
  </si>
  <si>
    <t>Gerinti vandens telkinių būklę bei tvarkyti juos supančią aplinką</t>
  </si>
  <si>
    <t>ES</t>
  </si>
  <si>
    <t>AA</t>
  </si>
  <si>
    <t>05.02.01.01</t>
  </si>
  <si>
    <t>05.01.01.01</t>
  </si>
  <si>
    <t>Vykdytojo kodas</t>
  </si>
  <si>
    <t>Priemonės pavadinimas</t>
  </si>
  <si>
    <t>3 Aplinkos apsaugos programa</t>
  </si>
  <si>
    <t>Tvarkyti seniūnijų gatves bei žaliuosius plotus</t>
  </si>
  <si>
    <t>Gatvių ir žaliųjų plotų tvarkymas ir priežiūra Agluonėnų seniūnijoje</t>
  </si>
  <si>
    <t>Gatvių ir žaliųjų plotų tvarkymas ir priežiūra Gargždų seniūnijoje</t>
  </si>
  <si>
    <t>Gatvių ir žaliųjų plotų tvarkymas ir priežiūra Judrėnų seniūnijoje</t>
  </si>
  <si>
    <t>Iš viso programai:</t>
  </si>
  <si>
    <t>Mažinti aplinkos taršą, siekiant sukurti švarią ir saugią aplinką Klaipėdos rajone</t>
  </si>
  <si>
    <t>Aplinkos apsaugos specialiosios programos įgyvendinimas</t>
  </si>
  <si>
    <t>18</t>
  </si>
  <si>
    <t>S</t>
  </si>
  <si>
    <t>Atliekų tvarkymo sistemos organizavimas</t>
  </si>
  <si>
    <t>Prižiūrėti esamas ir planuoti naujas lietaus vandens nubėgimo ir surinkimo sistemas</t>
  </si>
  <si>
    <t>Kodas biudžete</t>
  </si>
  <si>
    <t>3.1.1.14.</t>
  </si>
  <si>
    <t>3.1.1.2.</t>
  </si>
  <si>
    <t>3.2.2.7.</t>
  </si>
  <si>
    <t>3.2.3.1.25</t>
  </si>
  <si>
    <t>3.2.3.2.26.</t>
  </si>
  <si>
    <t>3.1.2.1.</t>
  </si>
  <si>
    <t>3.1.2.3.</t>
  </si>
  <si>
    <t>3.2.3.3.27.</t>
  </si>
  <si>
    <t>3.2.3.4.28.</t>
  </si>
  <si>
    <t>3.2.3.5.29.</t>
  </si>
  <si>
    <t>3.2.3.6.30.</t>
  </si>
  <si>
    <t>3.2.3.7.31.</t>
  </si>
  <si>
    <t>3.2.3.8.32.</t>
  </si>
  <si>
    <t>3.2.3.9.33.</t>
  </si>
  <si>
    <t>3.2.3.10.34.</t>
  </si>
  <si>
    <t>3.2.3.11.35.</t>
  </si>
  <si>
    <t>LA</t>
  </si>
  <si>
    <t>2 strateginis tikslas. Kelti rajono gyvenimo kokybę kuriant bei palaikant saugią ir švarią aplinką</t>
  </si>
  <si>
    <t>3.2.3.12.26</t>
  </si>
  <si>
    <t>3.2.3.12.27</t>
  </si>
  <si>
    <t>3.2.3.12.30</t>
  </si>
  <si>
    <t>3.2.3.12.33</t>
  </si>
  <si>
    <t>3.2.3.12.34</t>
  </si>
  <si>
    <t>3.2.3.12.35</t>
  </si>
  <si>
    <t>tūkst. eurų</t>
  </si>
  <si>
    <t>3.1.1.38.</t>
  </si>
  <si>
    <t>3.2.2.12.</t>
  </si>
  <si>
    <t>Gatvių ir žaliųjų plotų tvarkymas ir priežiūra  Dauparų-Kvietinių seniūnijoje</t>
  </si>
  <si>
    <t>Gatvių ir žaliųjų plotų tvarkymas ir priežiūra Dovilų seniūnijoje</t>
  </si>
  <si>
    <t>Gatvių ir žaliųjų plotų tvarkymas ir priežiūra Endriejavo seniūnijoje</t>
  </si>
  <si>
    <t>Gatvių ir žaliųjų plotų tvarkymas ir priežiūra Kretingalės seniūnijoje</t>
  </si>
  <si>
    <t>Gatvių ir žaliųjų plotų tvarkymas ir priežiūra Priekulės seniūnijoje</t>
  </si>
  <si>
    <t>Gatvių ir žaliųjų plotų tvarkymas ir priežiūra Sendvario seniūnijoje</t>
  </si>
  <si>
    <t>Gatvių ir žaliųjų plotų tvarkymas ir priežiūra Veiviržėnų seniūnijoje</t>
  </si>
  <si>
    <t>Gatvių ir žaliųjų plotų tvarkymas ir priežiūra Vėžaičių seniūnijoje</t>
  </si>
  <si>
    <t>05.03.01.01.</t>
  </si>
  <si>
    <t>05.03.01.01</t>
  </si>
  <si>
    <t>2</t>
  </si>
  <si>
    <t>Energijos rūšies pasirinkimo ir naudojimo šilumos tiekimui Gargždų mieste specialiojo plano parengimas</t>
  </si>
  <si>
    <t>3.2.3.13.</t>
  </si>
  <si>
    <t>3.1.1.48.</t>
  </si>
  <si>
    <t>Projekto „Komunalinių atliekų rūšiuojamojo surinkimo infrastruktūros plėtra Klaipėdos rajone“ įgyvendinimas</t>
  </si>
  <si>
    <t>05.01.01.01.</t>
  </si>
  <si>
    <t>Kompensavimas VšĮ „Gargždų švara“ už suteiktas vietinės rinkliavos už atliekų tvarkymą lengvatas</t>
  </si>
  <si>
    <t>VBD</t>
  </si>
  <si>
    <t>3.2.2.14.</t>
  </si>
  <si>
    <r>
      <t xml:space="preserve">Savivaldybės pajamos iš surenkamų mokesčių </t>
    </r>
    <r>
      <rPr>
        <b/>
        <sz val="8"/>
        <rFont val="Arial"/>
        <family val="2"/>
      </rPr>
      <t>SB</t>
    </r>
  </si>
  <si>
    <r>
      <t xml:space="preserve">Aplinkos apsaugos rėmimo programa (Aplinkos apsaugos priemonės) </t>
    </r>
    <r>
      <rPr>
        <b/>
        <sz val="8"/>
        <rFont val="Arial"/>
        <family val="2"/>
      </rPr>
      <t>AA</t>
    </r>
  </si>
  <si>
    <r>
      <t xml:space="preserve">Aplinkos apsaugos rėmimo programa praėjusių metų likutis </t>
    </r>
    <r>
      <rPr>
        <b/>
        <sz val="8"/>
        <rFont val="Arial"/>
        <family val="2"/>
        <charset val="186"/>
      </rPr>
      <t>LA</t>
    </r>
  </si>
  <si>
    <r>
      <t xml:space="preserve">ES struktūrinių fondų lėšos </t>
    </r>
    <r>
      <rPr>
        <b/>
        <sz val="8"/>
        <rFont val="Arial"/>
        <family val="2"/>
      </rPr>
      <t>ES</t>
    </r>
  </si>
  <si>
    <r>
      <t xml:space="preserve">Lėšos už paslaugas ir nuomą </t>
    </r>
    <r>
      <rPr>
        <b/>
        <sz val="8"/>
        <rFont val="Arial"/>
        <family val="2"/>
      </rPr>
      <t>S</t>
    </r>
  </si>
  <si>
    <r>
      <t xml:space="preserve">Valstybės biudžeto skiriamos lėšos </t>
    </r>
    <r>
      <rPr>
        <b/>
        <sz val="8"/>
        <rFont val="Arial"/>
        <family val="2"/>
        <charset val="186"/>
      </rPr>
      <t>VBD</t>
    </r>
  </si>
  <si>
    <t>3.2.2.16.</t>
  </si>
  <si>
    <t>3.1.1.55</t>
  </si>
  <si>
    <t>3.2.2.18</t>
  </si>
  <si>
    <t>3.2.2.19</t>
  </si>
  <si>
    <t>Energijos rūšies pasirinkimo ir naudojimo šilumos tiekimui Vėžaičiuose specialiojo plano parengimas</t>
  </si>
  <si>
    <t>3.2.2.20.</t>
  </si>
  <si>
    <t>3.2.3.11.36.</t>
  </si>
  <si>
    <t>Optimizuoti šilumos ūkį</t>
  </si>
  <si>
    <t>VBES</t>
  </si>
  <si>
    <r>
      <t xml:space="preserve">Valstybės biudžeto lėšos ES struktūrinių fondų lėšos </t>
    </r>
    <r>
      <rPr>
        <b/>
        <sz val="8"/>
        <rFont val="Arial"/>
        <family val="2"/>
        <charset val="186"/>
      </rPr>
      <t>VBES</t>
    </r>
  </si>
  <si>
    <t>Asbesto turinčių gaminių atliekų surinkimas apvažiavimo būdu, transportavimas ir saugus šalinimas</t>
  </si>
  <si>
    <t>Kretingalės seniūnijos Girkalių priešgaisrinio vandens rezervuaro įrengimas</t>
  </si>
  <si>
    <t>VšĮ "Gargždų švara" gatvių ir žaliųjų plotų tvarkymo ir priežiūros technikos įsigijimas</t>
  </si>
  <si>
    <t>3.1.1.61.</t>
  </si>
  <si>
    <t>GŠV</t>
  </si>
  <si>
    <t>Modernizuoti vandens tiekimo ir nuotekų sistemą</t>
  </si>
  <si>
    <r>
      <t xml:space="preserve">VšĮ "Gargždų švara" vietinės rinkliavos </t>
    </r>
    <r>
      <rPr>
        <b/>
        <sz val="8"/>
        <rFont val="Arial"/>
        <family val="2"/>
        <charset val="186"/>
      </rPr>
      <t>GŠV</t>
    </r>
  </si>
  <si>
    <t>3.1.1.62.</t>
  </si>
  <si>
    <t>3.2.1.9.</t>
  </si>
  <si>
    <t>Klaipėdos rajono vandens tiekimo ir nuotekų tvarkymo infrastruktūros plėtros specialiojo plano atnaujinimas</t>
  </si>
  <si>
    <t>3.1.1.68</t>
  </si>
  <si>
    <t>06.03.01.01</t>
  </si>
  <si>
    <t>2022 m. išlaidų projektas</t>
  </si>
  <si>
    <t>Laaif</t>
  </si>
  <si>
    <r>
      <t xml:space="preserve">Lietuvos aplinkos apsaugos investicijų fondo lėšos </t>
    </r>
    <r>
      <rPr>
        <b/>
        <sz val="8"/>
        <rFont val="Arial"/>
        <family val="2"/>
        <charset val="186"/>
      </rPr>
      <t>Laaif</t>
    </r>
  </si>
  <si>
    <t>9</t>
  </si>
  <si>
    <t>18.1</t>
  </si>
  <si>
    <t xml:space="preserve">Piliakalnių tvarkymas ir priežiūra Dauparų-Kvietinių, Dovilų, Judrėnų, Sendvario, Veiviržėnų ir Vėžaičių seniūnijose </t>
  </si>
  <si>
    <r>
      <t>Projekto „Klaipėdos rajono kraštovaizdžio gerinimas“ įgyvendinimas (</t>
    </r>
    <r>
      <rPr>
        <i/>
        <sz val="8"/>
        <rFont val="Arial"/>
        <family val="2"/>
        <charset val="186"/>
      </rPr>
      <t>Ketvergių karjero rekulivavimas, Klaipėdos rajono savivaldybės bendrojo plano korektūra ir Gargždų parko sutvarkymas</t>
    </r>
    <r>
      <rPr>
        <sz val="8"/>
        <rFont val="Arial"/>
        <family val="2"/>
        <charset val="186"/>
      </rPr>
      <t>)</t>
    </r>
  </si>
  <si>
    <t>3.1.1.69.</t>
  </si>
  <si>
    <t>Klaipėdos rajono lietaus nuotekų tinklų plėtros specialiojo plano rengimas</t>
  </si>
  <si>
    <t>Išlaidoms</t>
  </si>
  <si>
    <t>2023 m. išlaidų projektas</t>
  </si>
  <si>
    <t>Klaipėdos rajono savivaldybės strateginio veiklos plano 2021-2023 m.         
1 priedas</t>
  </si>
  <si>
    <t>2021-2023 METŲ APLINKOS APSAUGOS PROGRAMOS TIKSLŲ, UŽDAVINIŲ IR PRIEMONIŲ ASIGNAVIMŲ SUVESTINĖ</t>
  </si>
  <si>
    <t>2020 m. faktas</t>
  </si>
  <si>
    <t>30</t>
  </si>
  <si>
    <t>2021 m. asignavimai</t>
  </si>
  <si>
    <t>Gargždų miesto parko infrastruktūros sutvarkymas</t>
  </si>
  <si>
    <t xml:space="preserve">3.2.2.23. </t>
  </si>
  <si>
    <t>Savivaldybės įstaigų vidaus ir lauko vandentiekio tinklų, buitinių nuotekų išvadų priežiūra, avarinis remontas</t>
  </si>
  <si>
    <r>
      <t xml:space="preserve">Paviršinio lietaus vandens surinkimo sistemų projektavimas ir įrengimas Sendvario seniūnijoje, Jakų k., II etapas </t>
    </r>
    <r>
      <rPr>
        <b/>
        <sz val="8"/>
        <rFont val="Arial"/>
        <family val="2"/>
        <charset val="186"/>
      </rPr>
      <t/>
    </r>
  </si>
  <si>
    <t xml:space="preserve">Paviršinio lietaus vandens surinkimo sistemos Dovilų mstl. Klaipėdos ir Žemaitės g. statyba </t>
  </si>
  <si>
    <r>
      <t>Klaipėdos rajono lietaus kanalizacijos tinklų remontas ir priežiūra</t>
    </r>
    <r>
      <rPr>
        <b/>
        <sz val="8"/>
        <color rgb="FF0070C0"/>
        <rFont val="Arial"/>
        <family val="2"/>
        <charset val="186"/>
      </rPr>
      <t/>
    </r>
  </si>
  <si>
    <t xml:space="preserve">Paviršinių lietaus vandens surinkimo sistemų įrengimas Gargždų m. Parko ir Žemaičių g. </t>
  </si>
  <si>
    <t>Lietaus vandens surinkimo sistemos įrengimas adresu Jakų kaimas Jubiliejaus, Pavasario ir Austėjos g.</t>
  </si>
  <si>
    <t xml:space="preserve">Projekto „Pakrantės žvejybos turizmas – plėtra, skatinimas ir tvarus valdymas Baltijos jūros regione“ įgyvendinimas </t>
  </si>
  <si>
    <t>SL</t>
  </si>
  <si>
    <r>
      <t xml:space="preserve">Skolintos lėšos </t>
    </r>
    <r>
      <rPr>
        <b/>
        <sz val="8"/>
        <rFont val="Arial"/>
        <family val="2"/>
        <charset val="186"/>
      </rPr>
      <t xml:space="preserve">SL </t>
    </r>
  </si>
  <si>
    <t xml:space="preserve">Paviršinio lietaus vandens surinkimo sistemos įrengimas Girkalių k., Sodų g. </t>
  </si>
  <si>
    <t>LK</t>
  </si>
  <si>
    <r>
      <t xml:space="preserve">Savivaldybės biudžeto lėšų nepanaudoti likučiai </t>
    </r>
    <r>
      <rPr>
        <b/>
        <sz val="8"/>
        <rFont val="Arial"/>
        <family val="2"/>
        <charset val="186"/>
      </rPr>
      <t>LK</t>
    </r>
  </si>
  <si>
    <r>
      <t xml:space="preserve">Lėšos už parduotą žemę </t>
    </r>
    <r>
      <rPr>
        <b/>
        <sz val="8"/>
        <rFont val="Arial"/>
        <family val="2"/>
        <charset val="186"/>
      </rPr>
      <t>Ž</t>
    </r>
  </si>
  <si>
    <t>Ž</t>
  </si>
  <si>
    <t>Modernizuoti bei plėtoti vandens tiekimo, nuotekų bei lietaus vandens nuvedimo sistemų infrastruktūrą Klaipėdos rajone</t>
  </si>
  <si>
    <t>Paviršinių nuotekų šalinimo tinklų įrengimas Gindulių k. Liepų, Ievų g., Toplaukio g.</t>
  </si>
  <si>
    <t>Paviršinių nuotekų šalinimo tinklų įrengimas Gargždų miesto Pušų g. atkarpoje nuo Žvejų g. iki J. Basanavičiaus g. bei lietaus nuotekų šalinimo tinklų statyba Gargždų m. Žalgirio g. ir Kvietinių g. - I etapas</t>
  </si>
  <si>
    <t>Kt</t>
  </si>
  <si>
    <t>ES (Kt)</t>
  </si>
  <si>
    <t>9.2</t>
  </si>
  <si>
    <t>Geriamojo vandens tiekimo ir buitinių nuotekų tvarkymo tinklų įrengimas ir rekonstravimas Klaipėdos rajone pagal dalinai ES lėšomis finansuojamus projektus</t>
  </si>
  <si>
    <t>Geriamojo vandens tiekimo ir buitinių nuotekų tvarkymo tinklų plėtra Klaipėdos rajone</t>
  </si>
  <si>
    <t>Geriamojo vandens tiekimo ir buitinių nuotekų tvarkymo tinklų rekonstravimas bei atnaujinimas Klaipėdos rajone</t>
  </si>
  <si>
    <t>Vandens gerinimas Klaipėdos rajone</t>
  </si>
  <si>
    <t>Nuotekų valymas Klaipėdos rajone</t>
  </si>
  <si>
    <r>
      <t xml:space="preserve">Europos Sąjungos struktūrinių fondų lėšos, tenkančios projektų partneriams </t>
    </r>
    <r>
      <rPr>
        <b/>
        <sz val="8"/>
        <rFont val="Arial"/>
        <family val="2"/>
        <charset val="186"/>
      </rPr>
      <t>ES (Kt)</t>
    </r>
  </si>
  <si>
    <r>
      <t>Kitos lėšos</t>
    </r>
    <r>
      <rPr>
        <b/>
        <sz val="8"/>
        <rFont val="Arial"/>
        <family val="2"/>
        <charset val="186"/>
      </rPr>
      <t xml:space="preserve"> Kt</t>
    </r>
  </si>
  <si>
    <t>3.1.1.70</t>
  </si>
  <si>
    <t>3.1.1.71</t>
  </si>
  <si>
    <t>3.1.1.72</t>
  </si>
  <si>
    <t>3.1.1.73</t>
  </si>
  <si>
    <t>3.1.1.74</t>
  </si>
  <si>
    <t>18,9</t>
  </si>
  <si>
    <t>3.2.2.24</t>
  </si>
  <si>
    <r>
      <t xml:space="preserve">Dotacija 2020 m. savivaldybių biudžetų negautoms pajamoms padengti </t>
    </r>
    <r>
      <rPr>
        <b/>
        <sz val="8"/>
        <rFont val="Arial"/>
        <family val="2"/>
        <charset val="186"/>
      </rPr>
      <t>VBD (GNP)</t>
    </r>
  </si>
  <si>
    <t>VBD (GNP)</t>
  </si>
  <si>
    <t>3.2.2.21</t>
  </si>
  <si>
    <t>Tekstilės atliekų surinkimo priemonių įsigijimas Klaipėdos rajone</t>
  </si>
  <si>
    <t>Didelių gabaritų atliekų aikštelių įsigijimas Vėžaičiuose ir Gargžduose</t>
  </si>
  <si>
    <t>Paviršinių lietaus nuotekų tvarkymas</t>
  </si>
  <si>
    <t>9.3</t>
  </si>
  <si>
    <t>3.1.1.51</t>
  </si>
  <si>
    <t>Paviršinių nuotekų šalinimo tinklų projektavimas Gargždų miesto Naujojoje g.; Gėlių g.; Pušų g. akligatvyje tarp 38 ir 40 namų; Žemaičių g. atkarpoje tarp Parko ir Žemaitės g; Liepų ir Žemaičių g. sankryžoje</t>
  </si>
  <si>
    <t>3.1.1.75</t>
  </si>
  <si>
    <t>Klaipėdos rajono teritorijos paviršinių nuotekų tinklų projektavimas</t>
  </si>
  <si>
    <t>3.1.1.76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</si>
</sst>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color rgb="FFFF0000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i/>
      <sz val="8"/>
      <name val="Arial"/>
      <family val="2"/>
      <charset val="186"/>
    </font>
    <font>
      <b/>
      <sz val="8"/>
      <color rgb="FF0070C0"/>
      <name val="Arial"/>
      <family val="2"/>
      <charset val="186"/>
    </font>
    <font>
      <b/>
      <sz val="10"/>
      <name val="Arial"/>
      <family val="2"/>
      <charset val="186"/>
    </font>
    <font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41">
    <xf numFmtId="0" fontId="0" fillId="0" borderId="0" xfId="0"/>
    <xf numFmtId="165" fontId="3" fillId="0" borderId="15" xfId="0" applyNumberFormat="1" applyFont="1" applyFill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Continuous" vertical="center" wrapText="1"/>
    </xf>
    <xf numFmtId="165" fontId="2" fillId="0" borderId="16" xfId="0" applyNumberFormat="1" applyFont="1" applyBorder="1" applyAlignment="1">
      <alignment horizontal="center" vertical="center" textRotation="90"/>
    </xf>
    <xf numFmtId="165" fontId="2" fillId="3" borderId="31" xfId="0" applyNumberFormat="1" applyFont="1" applyFill="1" applyBorder="1" applyAlignment="1">
      <alignment horizontal="center" vertical="center"/>
    </xf>
    <xf numFmtId="165" fontId="2" fillId="0" borderId="42" xfId="0" applyNumberFormat="1" applyFont="1" applyFill="1" applyBorder="1" applyAlignment="1">
      <alignment horizontal="center" vertical="center"/>
    </xf>
    <xf numFmtId="165" fontId="2" fillId="3" borderId="29" xfId="0" applyNumberFormat="1" applyFont="1" applyFill="1" applyBorder="1" applyAlignment="1">
      <alignment horizontal="center" vertical="center"/>
    </xf>
    <xf numFmtId="165" fontId="2" fillId="0" borderId="38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2" fillId="0" borderId="0" xfId="0" applyNumberFormat="1" applyFont="1"/>
    <xf numFmtId="165" fontId="2" fillId="0" borderId="3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5" fillId="4" borderId="4" xfId="0" applyNumberFormat="1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/>
    </xf>
    <xf numFmtId="165" fontId="5" fillId="3" borderId="41" xfId="0" applyNumberFormat="1" applyFont="1" applyFill="1" applyBorder="1" applyAlignment="1">
      <alignment horizontal="center" vertical="center"/>
    </xf>
    <xf numFmtId="165" fontId="5" fillId="3" borderId="30" xfId="0" applyNumberFormat="1" applyFont="1" applyFill="1" applyBorder="1" applyAlignment="1">
      <alignment horizontal="center" vertical="center"/>
    </xf>
    <xf numFmtId="165" fontId="5" fillId="3" borderId="35" xfId="0" applyNumberFormat="1" applyFont="1" applyFill="1" applyBorder="1" applyAlignment="1">
      <alignment horizontal="center" vertical="center"/>
    </xf>
    <xf numFmtId="165" fontId="5" fillId="0" borderId="44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165" fontId="2" fillId="3" borderId="2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/>
    </xf>
    <xf numFmtId="165" fontId="2" fillId="0" borderId="41" xfId="0" applyNumberFormat="1" applyFont="1" applyFill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165" fontId="2" fillId="0" borderId="35" xfId="0" applyNumberFormat="1" applyFont="1" applyFill="1" applyBorder="1" applyAlignment="1">
      <alignment horizontal="center" vertical="center"/>
    </xf>
    <xf numFmtId="165" fontId="2" fillId="2" borderId="30" xfId="0" applyNumberFormat="1" applyFont="1" applyFill="1" applyBorder="1" applyAlignment="1">
      <alignment horizontal="center" vertical="center"/>
    </xf>
    <xf numFmtId="165" fontId="2" fillId="2" borderId="35" xfId="0" applyNumberFormat="1" applyFont="1" applyFill="1" applyBorder="1" applyAlignment="1">
      <alignment horizontal="center" vertical="center"/>
    </xf>
    <xf numFmtId="165" fontId="5" fillId="3" borderId="31" xfId="0" applyNumberFormat="1" applyFont="1" applyFill="1" applyBorder="1" applyAlignment="1">
      <alignment horizontal="center" vertical="center"/>
    </xf>
    <xf numFmtId="165" fontId="5" fillId="0" borderId="40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2" borderId="29" xfId="0" applyNumberFormat="1" applyFont="1" applyFill="1" applyBorder="1" applyAlignment="1">
      <alignment horizontal="center" vertical="center" wrapText="1"/>
    </xf>
    <xf numFmtId="165" fontId="2" fillId="2" borderId="30" xfId="0" applyNumberFormat="1" applyFont="1" applyFill="1" applyBorder="1" applyAlignment="1">
      <alignment horizontal="center" vertical="center" wrapText="1"/>
    </xf>
    <xf numFmtId="165" fontId="2" fillId="0" borderId="39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165" fontId="2" fillId="0" borderId="50" xfId="0" applyNumberFormat="1" applyFont="1" applyFill="1" applyBorder="1" applyAlignment="1">
      <alignment horizontal="center" vertical="center"/>
    </xf>
    <xf numFmtId="165" fontId="2" fillId="0" borderId="51" xfId="0" applyNumberFormat="1" applyFont="1" applyFill="1" applyBorder="1" applyAlignment="1">
      <alignment horizontal="center" vertical="center"/>
    </xf>
    <xf numFmtId="165" fontId="5" fillId="0" borderId="40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 wrapText="1"/>
    </xf>
    <xf numFmtId="165" fontId="5" fillId="0" borderId="47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4" fillId="0" borderId="36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165" fontId="5" fillId="0" borderId="53" xfId="0" applyNumberFormat="1" applyFont="1" applyFill="1" applyBorder="1" applyAlignment="1">
      <alignment horizontal="center" vertical="center"/>
    </xf>
    <xf numFmtId="165" fontId="5" fillId="0" borderId="54" xfId="0" applyNumberFormat="1" applyFont="1" applyFill="1" applyBorder="1" applyAlignment="1">
      <alignment horizontal="center" vertical="center"/>
    </xf>
    <xf numFmtId="165" fontId="5" fillId="0" borderId="55" xfId="0" applyNumberFormat="1" applyFont="1" applyFill="1" applyBorder="1" applyAlignment="1">
      <alignment horizontal="center" vertical="center"/>
    </xf>
    <xf numFmtId="165" fontId="2" fillId="2" borderId="29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2" fillId="0" borderId="53" xfId="0" applyNumberFormat="1" applyFont="1" applyFill="1" applyBorder="1" applyAlignment="1">
      <alignment horizontal="center" vertical="center"/>
    </xf>
    <xf numFmtId="165" fontId="2" fillId="0" borderId="65" xfId="0" applyNumberFormat="1" applyFont="1" applyFill="1" applyBorder="1" applyAlignment="1">
      <alignment horizontal="center" vertical="center"/>
    </xf>
    <xf numFmtId="165" fontId="2" fillId="0" borderId="28" xfId="0" applyNumberFormat="1" applyFont="1" applyFill="1" applyBorder="1" applyAlignment="1">
      <alignment horizontal="center" vertical="center"/>
    </xf>
    <xf numFmtId="165" fontId="2" fillId="0" borderId="66" xfId="0" applyNumberFormat="1" applyFont="1" applyFill="1" applyBorder="1" applyAlignment="1">
      <alignment horizontal="center" vertical="center"/>
    </xf>
    <xf numFmtId="165" fontId="2" fillId="0" borderId="17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3" borderId="57" xfId="0" applyNumberFormat="1" applyFont="1" applyFill="1" applyBorder="1" applyAlignment="1">
      <alignment horizontal="center" vertical="center"/>
    </xf>
    <xf numFmtId="165" fontId="2" fillId="3" borderId="34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65" fontId="2" fillId="3" borderId="17" xfId="0" applyNumberFormat="1" applyFont="1" applyFill="1" applyBorder="1" applyAlignment="1">
      <alignment horizontal="center" vertical="center"/>
    </xf>
    <xf numFmtId="165" fontId="2" fillId="3" borderId="7" xfId="0" applyNumberFormat="1" applyFont="1" applyFill="1" applyBorder="1" applyAlignment="1">
      <alignment horizontal="center" vertical="center"/>
    </xf>
    <xf numFmtId="165" fontId="2" fillId="3" borderId="58" xfId="0" applyNumberFormat="1" applyFont="1" applyFill="1" applyBorder="1" applyAlignment="1">
      <alignment horizontal="center" vertical="center"/>
    </xf>
    <xf numFmtId="165" fontId="2" fillId="3" borderId="18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69" xfId="0" applyNumberFormat="1" applyFont="1" applyFill="1" applyBorder="1" applyAlignment="1">
      <alignment horizontal="center" vertical="center"/>
    </xf>
    <xf numFmtId="165" fontId="2" fillId="0" borderId="33" xfId="0" applyNumberFormat="1" applyFont="1" applyFill="1" applyBorder="1" applyAlignment="1">
      <alignment horizontal="center" vertical="center"/>
    </xf>
    <xf numFmtId="165" fontId="2" fillId="0" borderId="3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26" xfId="0" applyNumberFormat="1" applyFont="1" applyBorder="1" applyAlignment="1">
      <alignment horizontal="center" vertical="center" wrapText="1"/>
    </xf>
    <xf numFmtId="165" fontId="2" fillId="3" borderId="41" xfId="0" applyNumberFormat="1" applyFont="1" applyFill="1" applyBorder="1" applyAlignment="1">
      <alignment horizontal="center" vertical="center"/>
    </xf>
    <xf numFmtId="165" fontId="2" fillId="3" borderId="30" xfId="0" applyNumberFormat="1" applyFont="1" applyFill="1" applyBorder="1" applyAlignment="1">
      <alignment horizontal="center" vertical="center"/>
    </xf>
    <xf numFmtId="165" fontId="2" fillId="0" borderId="40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2" fillId="3" borderId="35" xfId="0" applyNumberFormat="1" applyFont="1" applyFill="1" applyBorder="1" applyAlignment="1">
      <alignment horizontal="center" vertical="center"/>
    </xf>
    <xf numFmtId="165" fontId="2" fillId="0" borderId="44" xfId="0" applyNumberFormat="1" applyFont="1" applyFill="1" applyBorder="1" applyAlignment="1">
      <alignment horizontal="center" vertical="center"/>
    </xf>
    <xf numFmtId="165" fontId="2" fillId="0" borderId="46" xfId="0" applyNumberFormat="1" applyFont="1" applyFill="1" applyBorder="1" applyAlignment="1">
      <alignment horizontal="center" vertical="center"/>
    </xf>
    <xf numFmtId="165" fontId="2" fillId="0" borderId="47" xfId="0" applyNumberFormat="1" applyFont="1" applyFill="1" applyBorder="1" applyAlignment="1">
      <alignment horizontal="center" vertical="center"/>
    </xf>
    <xf numFmtId="165" fontId="2" fillId="0" borderId="45" xfId="0" applyNumberFormat="1" applyFont="1" applyFill="1" applyBorder="1" applyAlignment="1">
      <alignment horizontal="center" vertical="center"/>
    </xf>
    <xf numFmtId="165" fontId="2" fillId="2" borderId="50" xfId="0" applyNumberFormat="1" applyFont="1" applyFill="1" applyBorder="1" applyAlignment="1">
      <alignment horizontal="center" vertical="center"/>
    </xf>
    <xf numFmtId="165" fontId="2" fillId="0" borderId="54" xfId="0" applyNumberFormat="1" applyFont="1" applyFill="1" applyBorder="1" applyAlignment="1">
      <alignment horizontal="center" vertical="center"/>
    </xf>
    <xf numFmtId="165" fontId="2" fillId="0" borderId="67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65" fontId="2" fillId="3" borderId="48" xfId="0" applyNumberFormat="1" applyFont="1" applyFill="1" applyBorder="1" applyAlignment="1">
      <alignment horizontal="center" vertical="center"/>
    </xf>
    <xf numFmtId="165" fontId="2" fillId="3" borderId="10" xfId="0" applyNumberFormat="1" applyFont="1" applyFill="1" applyBorder="1" applyAlignment="1">
      <alignment horizontal="center" vertical="center"/>
    </xf>
    <xf numFmtId="165" fontId="5" fillId="3" borderId="10" xfId="0" applyNumberFormat="1" applyFont="1" applyFill="1" applyBorder="1" applyAlignment="1">
      <alignment horizontal="center" vertical="center"/>
    </xf>
    <xf numFmtId="165" fontId="5" fillId="3" borderId="34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/>
    </xf>
    <xf numFmtId="165" fontId="5" fillId="3" borderId="22" xfId="0" applyNumberFormat="1" applyFont="1" applyFill="1" applyBorder="1" applyAlignment="1">
      <alignment horizontal="center" vertical="center"/>
    </xf>
    <xf numFmtId="165" fontId="5" fillId="3" borderId="58" xfId="0" applyNumberFormat="1" applyFont="1" applyFill="1" applyBorder="1" applyAlignment="1">
      <alignment horizontal="center" vertical="center"/>
    </xf>
    <xf numFmtId="165" fontId="2" fillId="3" borderId="5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165" fontId="2" fillId="8" borderId="44" xfId="0" applyNumberFormat="1" applyFont="1" applyFill="1" applyBorder="1" applyAlignment="1">
      <alignment horizontal="center" vertical="center"/>
    </xf>
    <xf numFmtId="165" fontId="2" fillId="8" borderId="4" xfId="0" applyNumberFormat="1" applyFont="1" applyFill="1" applyBorder="1" applyAlignment="1">
      <alignment horizontal="center" vertical="center"/>
    </xf>
    <xf numFmtId="165" fontId="2" fillId="2" borderId="51" xfId="0" applyNumberFormat="1" applyFont="1" applyFill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5" fontId="2" fillId="8" borderId="40" xfId="0" applyNumberFormat="1" applyFont="1" applyFill="1" applyBorder="1" applyAlignment="1">
      <alignment horizontal="center" vertical="center"/>
    </xf>
    <xf numFmtId="165" fontId="2" fillId="8" borderId="3" xfId="0" applyNumberFormat="1" applyFont="1" applyFill="1" applyBorder="1" applyAlignment="1">
      <alignment horizontal="center" vertical="center"/>
    </xf>
    <xf numFmtId="165" fontId="2" fillId="8" borderId="8" xfId="0" applyNumberFormat="1" applyFont="1" applyFill="1" applyBorder="1" applyAlignment="1">
      <alignment horizontal="center" vertical="center"/>
    </xf>
    <xf numFmtId="165" fontId="2" fillId="8" borderId="53" xfId="0" applyNumberFormat="1" applyFont="1" applyFill="1" applyBorder="1" applyAlignment="1">
      <alignment horizontal="center" vertical="center"/>
    </xf>
    <xf numFmtId="165" fontId="2" fillId="8" borderId="54" xfId="0" applyNumberFormat="1" applyFont="1" applyFill="1" applyBorder="1" applyAlignment="1">
      <alignment horizontal="center" vertical="center"/>
    </xf>
    <xf numFmtId="165" fontId="2" fillId="8" borderId="65" xfId="0" applyNumberFormat="1" applyFont="1" applyFill="1" applyBorder="1" applyAlignment="1">
      <alignment horizontal="center" vertical="center"/>
    </xf>
    <xf numFmtId="165" fontId="5" fillId="8" borderId="47" xfId="0" applyNumberFormat="1" applyFont="1" applyFill="1" applyBorder="1" applyAlignment="1">
      <alignment horizontal="center" vertical="center" wrapText="1"/>
    </xf>
    <xf numFmtId="165" fontId="2" fillId="8" borderId="69" xfId="0" applyNumberFormat="1" applyFont="1" applyFill="1" applyBorder="1" applyAlignment="1">
      <alignment horizontal="center" vertical="center"/>
    </xf>
    <xf numFmtId="165" fontId="2" fillId="0" borderId="32" xfId="0" applyNumberFormat="1" applyFont="1" applyFill="1" applyBorder="1" applyAlignment="1">
      <alignment horizontal="center" vertical="center"/>
    </xf>
    <xf numFmtId="165" fontId="2" fillId="0" borderId="34" xfId="0" applyNumberFormat="1" applyFont="1" applyFill="1" applyBorder="1" applyAlignment="1">
      <alignment horizontal="center" vertical="center"/>
    </xf>
    <xf numFmtId="165" fontId="2" fillId="8" borderId="52" xfId="0" applyNumberFormat="1" applyFont="1" applyFill="1" applyBorder="1" applyAlignment="1">
      <alignment horizontal="center" vertical="center"/>
    </xf>
    <xf numFmtId="165" fontId="2" fillId="0" borderId="49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165" fontId="2" fillId="8" borderId="46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65" fontId="5" fillId="8" borderId="4" xfId="0" applyNumberFormat="1" applyFont="1" applyFill="1" applyBorder="1" applyAlignment="1">
      <alignment horizontal="center" vertical="center" wrapText="1"/>
    </xf>
    <xf numFmtId="165" fontId="3" fillId="0" borderId="57" xfId="0" applyNumberFormat="1" applyFont="1" applyBorder="1" applyAlignment="1">
      <alignment horizontal="center" vertical="center"/>
    </xf>
    <xf numFmtId="165" fontId="3" fillId="0" borderId="58" xfId="0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165" fontId="5" fillId="8" borderId="8" xfId="0" applyNumberFormat="1" applyFont="1" applyFill="1" applyBorder="1" applyAlignment="1">
      <alignment horizontal="center" vertical="center" wrapText="1"/>
    </xf>
    <xf numFmtId="165" fontId="5" fillId="8" borderId="3" xfId="0" applyNumberFormat="1" applyFont="1" applyFill="1" applyBorder="1" applyAlignment="1">
      <alignment horizontal="center" vertical="center"/>
    </xf>
    <xf numFmtId="165" fontId="5" fillId="8" borderId="8" xfId="0" applyNumberFormat="1" applyFont="1" applyFill="1" applyBorder="1" applyAlignment="1">
      <alignment horizontal="center" vertical="center"/>
    </xf>
    <xf numFmtId="165" fontId="5" fillId="8" borderId="15" xfId="0" applyNumberFormat="1" applyFont="1" applyFill="1" applyBorder="1" applyAlignment="1">
      <alignment horizontal="center" vertical="center"/>
    </xf>
    <xf numFmtId="0" fontId="6" fillId="5" borderId="64" xfId="0" applyFont="1" applyFill="1" applyBorder="1" applyAlignment="1">
      <alignment horizontal="left" vertical="center" wrapText="1"/>
    </xf>
    <xf numFmtId="0" fontId="6" fillId="5" borderId="57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165" fontId="2" fillId="5" borderId="29" xfId="0" applyNumberFormat="1" applyFont="1" applyFill="1" applyBorder="1" applyAlignment="1">
      <alignment horizontal="center" vertical="center"/>
    </xf>
    <xf numFmtId="165" fontId="2" fillId="5" borderId="30" xfId="0" applyNumberFormat="1" applyFont="1" applyFill="1" applyBorder="1" applyAlignment="1">
      <alignment horizontal="center" vertical="center"/>
    </xf>
    <xf numFmtId="165" fontId="2" fillId="5" borderId="35" xfId="0" applyNumberFormat="1" applyFont="1" applyFill="1" applyBorder="1" applyAlignment="1">
      <alignment horizontal="center" vertical="center"/>
    </xf>
    <xf numFmtId="165" fontId="5" fillId="8" borderId="5" xfId="0" applyNumberFormat="1" applyFont="1" applyFill="1" applyBorder="1" applyAlignment="1">
      <alignment horizontal="center" vertical="center" wrapText="1"/>
    </xf>
    <xf numFmtId="165" fontId="2" fillId="8" borderId="42" xfId="0" applyNumberFormat="1" applyFont="1" applyFill="1" applyBorder="1" applyAlignment="1">
      <alignment horizontal="center" vertical="center"/>
    </xf>
    <xf numFmtId="165" fontId="2" fillId="8" borderId="21" xfId="0" applyNumberFormat="1" applyFont="1" applyFill="1" applyBorder="1" applyAlignment="1">
      <alignment horizontal="center" vertical="center"/>
    </xf>
    <xf numFmtId="165" fontId="2" fillId="8" borderId="5" xfId="0" applyNumberFormat="1" applyFont="1" applyFill="1" applyBorder="1" applyAlignment="1">
      <alignment horizontal="center" vertical="center"/>
    </xf>
    <xf numFmtId="165" fontId="2" fillId="8" borderId="39" xfId="0" applyNumberFormat="1" applyFont="1" applyFill="1" applyBorder="1" applyAlignment="1">
      <alignment horizontal="center" vertical="center"/>
    </xf>
    <xf numFmtId="165" fontId="2" fillId="8" borderId="2" xfId="0" applyNumberFormat="1" applyFont="1" applyFill="1" applyBorder="1" applyAlignment="1">
      <alignment horizontal="center" vertical="center"/>
    </xf>
    <xf numFmtId="165" fontId="2" fillId="8" borderId="17" xfId="0" applyNumberFormat="1" applyFont="1" applyFill="1" applyBorder="1" applyAlignment="1">
      <alignment horizontal="center" vertical="center"/>
    </xf>
    <xf numFmtId="165" fontId="2" fillId="8" borderId="28" xfId="0" applyNumberFormat="1" applyFont="1" applyFill="1" applyBorder="1" applyAlignment="1">
      <alignment horizontal="center" vertical="center"/>
    </xf>
    <xf numFmtId="165" fontId="2" fillId="8" borderId="27" xfId="0" applyNumberFormat="1" applyFont="1" applyFill="1" applyBorder="1" applyAlignment="1">
      <alignment horizontal="center" vertical="center"/>
    </xf>
    <xf numFmtId="165" fontId="2" fillId="8" borderId="38" xfId="0" applyNumberFormat="1" applyFont="1" applyFill="1" applyBorder="1" applyAlignment="1">
      <alignment horizontal="center" vertical="center"/>
    </xf>
    <xf numFmtId="165" fontId="3" fillId="0" borderId="36" xfId="0" applyNumberFormat="1" applyFont="1" applyFill="1" applyBorder="1" applyAlignment="1">
      <alignment horizontal="center" vertical="center"/>
    </xf>
    <xf numFmtId="165" fontId="5" fillId="8" borderId="4" xfId="0" applyNumberFormat="1" applyFont="1" applyFill="1" applyBorder="1" applyAlignment="1">
      <alignment horizontal="center" vertical="center"/>
    </xf>
    <xf numFmtId="165" fontId="5" fillId="9" borderId="35" xfId="0" applyNumberFormat="1" applyFont="1" applyFill="1" applyBorder="1" applyAlignment="1">
      <alignment horizontal="center" vertical="center"/>
    </xf>
    <xf numFmtId="0" fontId="6" fillId="8" borderId="68" xfId="0" applyFont="1" applyFill="1" applyBorder="1" applyAlignment="1">
      <alignment horizontal="center" vertical="center" wrapText="1"/>
    </xf>
    <xf numFmtId="165" fontId="2" fillId="8" borderId="6" xfId="0" applyNumberFormat="1" applyFont="1" applyFill="1" applyBorder="1" applyAlignment="1">
      <alignment horizontal="center" vertical="center"/>
    </xf>
    <xf numFmtId="165" fontId="2" fillId="8" borderId="16" xfId="0" applyNumberFormat="1" applyFont="1" applyFill="1" applyBorder="1" applyAlignment="1">
      <alignment horizontal="center" vertical="center"/>
    </xf>
    <xf numFmtId="165" fontId="2" fillId="8" borderId="43" xfId="0" applyNumberFormat="1" applyFont="1" applyFill="1" applyBorder="1" applyAlignment="1">
      <alignment horizontal="center" vertical="center"/>
    </xf>
    <xf numFmtId="165" fontId="2" fillId="8" borderId="7" xfId="0" applyNumberFormat="1" applyFont="1" applyFill="1" applyBorder="1" applyAlignment="1">
      <alignment horizontal="center" vertical="center"/>
    </xf>
    <xf numFmtId="165" fontId="2" fillId="8" borderId="41" xfId="0" applyNumberFormat="1" applyFont="1" applyFill="1" applyBorder="1" applyAlignment="1">
      <alignment horizontal="center" vertical="center"/>
    </xf>
    <xf numFmtId="165" fontId="5" fillId="8" borderId="41" xfId="0" applyNumberFormat="1" applyFont="1" applyFill="1" applyBorder="1" applyAlignment="1">
      <alignment horizontal="center" vertical="center"/>
    </xf>
    <xf numFmtId="165" fontId="5" fillId="8" borderId="38" xfId="0" applyNumberFormat="1" applyFont="1" applyFill="1" applyBorder="1" applyAlignment="1">
      <alignment horizontal="center" vertical="center" wrapText="1"/>
    </xf>
    <xf numFmtId="165" fontId="2" fillId="8" borderId="15" xfId="0" applyNumberFormat="1" applyFont="1" applyFill="1" applyBorder="1" applyAlignment="1">
      <alignment horizontal="center" vertical="center"/>
    </xf>
    <xf numFmtId="165" fontId="2" fillId="8" borderId="36" xfId="0" applyNumberFormat="1" applyFont="1" applyFill="1" applyBorder="1" applyAlignment="1">
      <alignment horizontal="center" vertical="center"/>
    </xf>
    <xf numFmtId="165" fontId="2" fillId="8" borderId="12" xfId="0" applyNumberFormat="1" applyFont="1" applyFill="1" applyBorder="1" applyAlignment="1">
      <alignment horizontal="center" vertical="center"/>
    </xf>
    <xf numFmtId="165" fontId="2" fillId="8" borderId="66" xfId="0" applyNumberFormat="1" applyFont="1" applyFill="1" applyBorder="1" applyAlignment="1">
      <alignment horizontal="center" vertical="center"/>
    </xf>
    <xf numFmtId="165" fontId="5" fillId="8" borderId="46" xfId="0" applyNumberFormat="1" applyFont="1" applyFill="1" applyBorder="1" applyAlignment="1">
      <alignment horizontal="center" vertical="center"/>
    </xf>
    <xf numFmtId="165" fontId="2" fillId="8" borderId="26" xfId="0" applyNumberFormat="1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165" fontId="4" fillId="8" borderId="3" xfId="0" applyNumberFormat="1" applyFont="1" applyFill="1" applyBorder="1" applyAlignment="1">
      <alignment horizontal="center" vertical="center"/>
    </xf>
    <xf numFmtId="165" fontId="5" fillId="8" borderId="3" xfId="0" applyNumberFormat="1" applyFont="1" applyFill="1" applyBorder="1" applyAlignment="1">
      <alignment horizontal="center" vertical="center" wrapText="1"/>
    </xf>
    <xf numFmtId="165" fontId="3" fillId="0" borderId="40" xfId="0" applyNumberFormat="1" applyFont="1" applyBorder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165" fontId="4" fillId="3" borderId="58" xfId="0" applyNumberFormat="1" applyFont="1" applyFill="1" applyBorder="1" applyAlignment="1">
      <alignment horizontal="center" vertical="center"/>
    </xf>
    <xf numFmtId="165" fontId="4" fillId="3" borderId="34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56" xfId="0" applyNumberFormat="1" applyFont="1" applyFill="1" applyBorder="1" applyAlignment="1">
      <alignment horizontal="center" vertical="center"/>
    </xf>
    <xf numFmtId="165" fontId="5" fillId="4" borderId="42" xfId="0" applyNumberFormat="1" applyFont="1" applyFill="1" applyBorder="1" applyAlignment="1">
      <alignment horizontal="center" vertical="center"/>
    </xf>
    <xf numFmtId="165" fontId="2" fillId="5" borderId="3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textRotation="90" wrapText="1"/>
    </xf>
    <xf numFmtId="165" fontId="2" fillId="0" borderId="29" xfId="0" applyNumberFormat="1" applyFont="1" applyFill="1" applyBorder="1" applyAlignment="1">
      <alignment horizontal="center" vertical="center"/>
    </xf>
    <xf numFmtId="165" fontId="2" fillId="3" borderId="2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65" fontId="2" fillId="3" borderId="16" xfId="0" applyNumberFormat="1" applyFont="1" applyFill="1" applyBorder="1" applyAlignment="1">
      <alignment horizontal="center" vertical="center"/>
    </xf>
    <xf numFmtId="165" fontId="4" fillId="3" borderId="35" xfId="0" applyNumberFormat="1" applyFont="1" applyFill="1" applyBorder="1" applyAlignment="1">
      <alignment horizontal="center" vertical="center"/>
    </xf>
    <xf numFmtId="165" fontId="2" fillId="3" borderId="43" xfId="0" applyNumberFormat="1" applyFont="1" applyFill="1" applyBorder="1" applyAlignment="1">
      <alignment horizontal="center" vertical="center"/>
    </xf>
    <xf numFmtId="165" fontId="5" fillId="3" borderId="29" xfId="0" applyNumberFormat="1" applyFont="1" applyFill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 wrapText="1"/>
    </xf>
    <xf numFmtId="165" fontId="5" fillId="8" borderId="5" xfId="0" applyNumberFormat="1" applyFont="1" applyFill="1" applyBorder="1" applyAlignment="1">
      <alignment horizontal="center" vertical="center"/>
    </xf>
    <xf numFmtId="165" fontId="5" fillId="8" borderId="28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165" fontId="5" fillId="8" borderId="57" xfId="0" applyNumberFormat="1" applyFont="1" applyFill="1" applyBorder="1" applyAlignment="1">
      <alignment horizontal="center" vertical="center"/>
    </xf>
    <xf numFmtId="165" fontId="5" fillId="8" borderId="58" xfId="0" applyNumberFormat="1" applyFont="1" applyFill="1" applyBorder="1" applyAlignment="1">
      <alignment horizontal="center" vertical="center"/>
    </xf>
    <xf numFmtId="165" fontId="5" fillId="0" borderId="26" xfId="0" applyNumberFormat="1" applyFont="1" applyFill="1" applyBorder="1" applyAlignment="1">
      <alignment horizontal="center" vertical="center"/>
    </xf>
    <xf numFmtId="165" fontId="5" fillId="8" borderId="52" xfId="0" applyNumberFormat="1" applyFont="1" applyFill="1" applyBorder="1" applyAlignment="1">
      <alignment horizontal="center" vertical="center"/>
    </xf>
    <xf numFmtId="165" fontId="5" fillId="0" borderId="21" xfId="0" applyNumberFormat="1" applyFont="1" applyFill="1" applyBorder="1" applyAlignment="1">
      <alignment horizontal="center" vertical="center"/>
    </xf>
    <xf numFmtId="165" fontId="5" fillId="0" borderId="29" xfId="0" applyNumberFormat="1" applyFont="1" applyFill="1" applyBorder="1" applyAlignment="1">
      <alignment horizontal="center" vertical="center"/>
    </xf>
    <xf numFmtId="165" fontId="5" fillId="0" borderId="30" xfId="0" applyNumberFormat="1" applyFont="1" applyFill="1" applyBorder="1" applyAlignment="1">
      <alignment horizontal="center" vertical="center"/>
    </xf>
    <xf numFmtId="165" fontId="5" fillId="0" borderId="35" xfId="0" applyNumberFormat="1" applyFont="1" applyFill="1" applyBorder="1" applyAlignment="1">
      <alignment horizontal="center" vertical="center"/>
    </xf>
    <xf numFmtId="165" fontId="5" fillId="0" borderId="29" xfId="0" applyNumberFormat="1" applyFont="1" applyFill="1" applyBorder="1" applyAlignment="1">
      <alignment horizontal="center" vertical="center" wrapText="1"/>
    </xf>
    <xf numFmtId="165" fontId="5" fillId="0" borderId="35" xfId="0" applyNumberFormat="1" applyFont="1" applyFill="1" applyBorder="1" applyAlignment="1">
      <alignment horizontal="center" vertical="center" wrapText="1"/>
    </xf>
    <xf numFmtId="165" fontId="5" fillId="0" borderId="28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5" fontId="5" fillId="4" borderId="71" xfId="0" applyNumberFormat="1" applyFont="1" applyFill="1" applyBorder="1" applyAlignment="1">
      <alignment horizontal="center" vertical="center"/>
    </xf>
    <xf numFmtId="165" fontId="5" fillId="4" borderId="58" xfId="0" applyNumberFormat="1" applyFont="1" applyFill="1" applyBorder="1" applyAlignment="1">
      <alignment horizontal="center" vertical="center"/>
    </xf>
    <xf numFmtId="165" fontId="2" fillId="0" borderId="61" xfId="0" applyNumberFormat="1" applyFont="1" applyFill="1" applyBorder="1" applyAlignment="1"/>
    <xf numFmtId="165" fontId="2" fillId="3" borderId="20" xfId="0" applyNumberFormat="1" applyFont="1" applyFill="1" applyBorder="1" applyAlignment="1">
      <alignment horizontal="center" vertical="center"/>
    </xf>
    <xf numFmtId="165" fontId="2" fillId="0" borderId="71" xfId="0" applyNumberFormat="1" applyFont="1" applyFill="1" applyBorder="1" applyAlignment="1">
      <alignment horizontal="center" vertical="center"/>
    </xf>
    <xf numFmtId="165" fontId="2" fillId="0" borderId="58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165" fontId="2" fillId="8" borderId="30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2" fillId="9" borderId="17" xfId="0" applyNumberFormat="1" applyFont="1" applyFill="1" applyBorder="1" applyAlignment="1">
      <alignment horizontal="center" vertical="center"/>
    </xf>
    <xf numFmtId="165" fontId="5" fillId="3" borderId="28" xfId="0" applyNumberFormat="1" applyFont="1" applyFill="1" applyBorder="1" applyAlignment="1">
      <alignment horizontal="center" vertical="center"/>
    </xf>
    <xf numFmtId="165" fontId="2" fillId="2" borderId="57" xfId="0" applyNumberFormat="1" applyFont="1" applyFill="1" applyBorder="1" applyAlignment="1">
      <alignment horizontal="center" vertical="center"/>
    </xf>
    <xf numFmtId="165" fontId="2" fillId="2" borderId="59" xfId="0" applyNumberFormat="1" applyFont="1" applyFill="1" applyBorder="1" applyAlignment="1">
      <alignment horizontal="center" vertical="center"/>
    </xf>
    <xf numFmtId="165" fontId="2" fillId="2" borderId="71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5" fontId="2" fillId="3" borderId="66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vertical="center" wrapText="1"/>
    </xf>
    <xf numFmtId="0" fontId="2" fillId="0" borderId="0" xfId="1" applyFont="1"/>
    <xf numFmtId="164" fontId="2" fillId="0" borderId="0" xfId="0" applyNumberFormat="1" applyFont="1" applyFill="1"/>
    <xf numFmtId="0" fontId="2" fillId="0" borderId="0" xfId="0" applyFont="1" applyAlignment="1">
      <alignment horizontal="left"/>
    </xf>
    <xf numFmtId="0" fontId="2" fillId="0" borderId="35" xfId="1" applyFont="1" applyBorder="1"/>
    <xf numFmtId="0" fontId="2" fillId="0" borderId="50" xfId="1" applyFont="1" applyBorder="1"/>
    <xf numFmtId="0" fontId="2" fillId="0" borderId="30" xfId="1" applyFont="1" applyBorder="1"/>
    <xf numFmtId="0" fontId="2" fillId="9" borderId="35" xfId="1" applyFont="1" applyFill="1" applyBorder="1"/>
    <xf numFmtId="0" fontId="2" fillId="9" borderId="50" xfId="1" applyFont="1" applyFill="1" applyBorder="1"/>
    <xf numFmtId="0" fontId="2" fillId="9" borderId="30" xfId="1" applyFont="1" applyFill="1" applyBorder="1"/>
    <xf numFmtId="0" fontId="2" fillId="0" borderId="29" xfId="1" applyFont="1" applyBorder="1"/>
    <xf numFmtId="0" fontId="2" fillId="8" borderId="0" xfId="0" applyFont="1" applyFill="1" applyBorder="1"/>
    <xf numFmtId="0" fontId="2" fillId="2" borderId="0" xfId="0" applyFont="1" applyFill="1"/>
    <xf numFmtId="0" fontId="2" fillId="3" borderId="0" xfId="0" applyFont="1" applyFill="1"/>
    <xf numFmtId="0" fontId="2" fillId="0" borderId="0" xfId="0" applyFont="1" applyBorder="1"/>
    <xf numFmtId="0" fontId="2" fillId="0" borderId="0" xfId="0" applyFont="1" applyFill="1" applyAlignment="1">
      <alignment horizontal="left" vertical="center"/>
    </xf>
    <xf numFmtId="165" fontId="2" fillId="0" borderId="35" xfId="1" applyNumberFormat="1" applyFont="1" applyBorder="1" applyAlignment="1">
      <alignment horizontal="center" vertical="center"/>
    </xf>
    <xf numFmtId="165" fontId="2" fillId="0" borderId="50" xfId="1" applyNumberFormat="1" applyFont="1" applyBorder="1" applyAlignment="1">
      <alignment horizontal="center" vertical="center"/>
    </xf>
    <xf numFmtId="165" fontId="2" fillId="0" borderId="30" xfId="1" applyNumberFormat="1" applyFont="1" applyBorder="1" applyAlignment="1">
      <alignment horizontal="center" vertical="center"/>
    </xf>
    <xf numFmtId="165" fontId="2" fillId="0" borderId="31" xfId="1" applyNumberFormat="1" applyFont="1" applyBorder="1" applyAlignment="1">
      <alignment horizontal="center" vertical="center"/>
    </xf>
    <xf numFmtId="165" fontId="2" fillId="0" borderId="29" xfId="1" applyNumberFormat="1" applyFont="1" applyBorder="1" applyAlignment="1">
      <alignment horizontal="center" vertical="center"/>
    </xf>
    <xf numFmtId="165" fontId="5" fillId="4" borderId="59" xfId="0" applyNumberFormat="1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center" vertical="center"/>
    </xf>
    <xf numFmtId="165" fontId="5" fillId="3" borderId="66" xfId="0" applyNumberFormat="1" applyFont="1" applyFill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 vertical="center"/>
    </xf>
    <xf numFmtId="165" fontId="2" fillId="3" borderId="70" xfId="0" applyNumberFormat="1" applyFont="1" applyFill="1" applyBorder="1" applyAlignment="1">
      <alignment horizontal="center" vertical="center"/>
    </xf>
    <xf numFmtId="165" fontId="2" fillId="0" borderId="52" xfId="0" applyNumberFormat="1" applyFont="1" applyFill="1" applyBorder="1" applyAlignment="1">
      <alignment horizontal="center" vertical="center"/>
    </xf>
    <xf numFmtId="165" fontId="2" fillId="0" borderId="73" xfId="0" applyNumberFormat="1" applyFont="1" applyFill="1" applyBorder="1" applyAlignment="1">
      <alignment horizontal="center" vertical="center"/>
    </xf>
    <xf numFmtId="165" fontId="2" fillId="3" borderId="50" xfId="0" applyNumberFormat="1" applyFont="1" applyFill="1" applyBorder="1" applyAlignment="1">
      <alignment horizontal="center" vertical="center"/>
    </xf>
    <xf numFmtId="165" fontId="5" fillId="3" borderId="50" xfId="0" applyNumberFormat="1" applyFont="1" applyFill="1" applyBorder="1" applyAlignment="1">
      <alignment horizontal="center" vertical="center"/>
    </xf>
    <xf numFmtId="165" fontId="2" fillId="2" borderId="50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5" fillId="8" borderId="18" xfId="0" applyNumberFormat="1" applyFont="1" applyFill="1" applyBorder="1" applyAlignment="1">
      <alignment horizontal="center" vertical="center"/>
    </xf>
    <xf numFmtId="165" fontId="5" fillId="0" borderId="52" xfId="0" applyNumberFormat="1" applyFont="1" applyBorder="1" applyAlignment="1">
      <alignment horizontal="center" vertical="center" wrapText="1"/>
    </xf>
    <xf numFmtId="165" fontId="5" fillId="0" borderId="73" xfId="0" applyNumberFormat="1" applyFont="1" applyBorder="1" applyAlignment="1">
      <alignment horizontal="center" vertical="center" wrapText="1"/>
    </xf>
    <xf numFmtId="165" fontId="5" fillId="8" borderId="66" xfId="0" applyNumberFormat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 wrapText="1"/>
    </xf>
    <xf numFmtId="165" fontId="5" fillId="0" borderId="66" xfId="0" applyNumberFormat="1" applyFont="1" applyBorder="1" applyAlignment="1">
      <alignment horizontal="center" vertical="center"/>
    </xf>
    <xf numFmtId="165" fontId="5" fillId="0" borderId="52" xfId="0" applyNumberFormat="1" applyFont="1" applyBorder="1" applyAlignment="1">
      <alignment horizontal="center" vertical="center"/>
    </xf>
    <xf numFmtId="165" fontId="5" fillId="0" borderId="73" xfId="0" applyNumberFormat="1" applyFont="1" applyBorder="1" applyAlignment="1">
      <alignment horizontal="center" vertical="center"/>
    </xf>
    <xf numFmtId="165" fontId="5" fillId="0" borderId="66" xfId="0" applyNumberFormat="1" applyFont="1" applyFill="1" applyBorder="1" applyAlignment="1">
      <alignment horizontal="center" vertical="center" wrapText="1"/>
    </xf>
    <xf numFmtId="165" fontId="5" fillId="0" borderId="66" xfId="0" applyNumberFormat="1" applyFont="1" applyFill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165" fontId="5" fillId="0" borderId="26" xfId="0" applyNumberFormat="1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center" vertical="center"/>
    </xf>
    <xf numFmtId="165" fontId="5" fillId="0" borderId="18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/>
    </xf>
    <xf numFmtId="165" fontId="4" fillId="0" borderId="52" xfId="0" applyNumberFormat="1" applyFont="1" applyFill="1" applyBorder="1" applyAlignment="1">
      <alignment horizontal="center" vertical="center"/>
    </xf>
    <xf numFmtId="165" fontId="4" fillId="0" borderId="69" xfId="0" applyNumberFormat="1" applyFont="1" applyFill="1" applyBorder="1" applyAlignment="1">
      <alignment horizontal="center" vertical="center"/>
    </xf>
    <xf numFmtId="165" fontId="5" fillId="0" borderId="69" xfId="0" applyNumberFormat="1" applyFont="1" applyFill="1" applyBorder="1" applyAlignment="1">
      <alignment horizontal="center" vertical="center"/>
    </xf>
    <xf numFmtId="165" fontId="5" fillId="0" borderId="73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center" vertical="center"/>
    </xf>
    <xf numFmtId="165" fontId="5" fillId="0" borderId="65" xfId="0" applyNumberFormat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165" fontId="2" fillId="0" borderId="50" xfId="1" applyNumberFormat="1" applyFont="1" applyBorder="1" applyAlignment="1">
      <alignment vertical="center"/>
    </xf>
    <xf numFmtId="165" fontId="2" fillId="0" borderId="30" xfId="1" applyNumberFormat="1" applyFont="1" applyBorder="1" applyAlignment="1">
      <alignment vertical="center"/>
    </xf>
    <xf numFmtId="165" fontId="2" fillId="0" borderId="35" xfId="1" applyNumberFormat="1" applyFont="1" applyBorder="1" applyAlignment="1">
      <alignment vertical="center"/>
    </xf>
    <xf numFmtId="165" fontId="4" fillId="3" borderId="70" xfId="0" applyNumberFormat="1" applyFont="1" applyFill="1" applyBorder="1" applyAlignment="1">
      <alignment horizontal="center" vertical="center"/>
    </xf>
    <xf numFmtId="165" fontId="5" fillId="4" borderId="30" xfId="0" applyNumberFormat="1" applyFont="1" applyFill="1" applyBorder="1" applyAlignment="1">
      <alignment horizontal="center" vertical="center"/>
    </xf>
    <xf numFmtId="165" fontId="5" fillId="4" borderId="35" xfId="0" applyNumberFormat="1" applyFont="1" applyFill="1" applyBorder="1" applyAlignment="1">
      <alignment horizontal="center" vertical="center"/>
    </xf>
    <xf numFmtId="0" fontId="2" fillId="9" borderId="70" xfId="1" applyFont="1" applyFill="1" applyBorder="1"/>
    <xf numFmtId="0" fontId="2" fillId="9" borderId="58" xfId="1" applyFont="1" applyFill="1" applyBorder="1"/>
    <xf numFmtId="0" fontId="2" fillId="9" borderId="34" xfId="1" applyFont="1" applyFill="1" applyBorder="1"/>
    <xf numFmtId="165" fontId="2" fillId="9" borderId="70" xfId="1" applyNumberFormat="1" applyFont="1" applyFill="1" applyBorder="1" applyAlignment="1">
      <alignment horizontal="center" vertical="center"/>
    </xf>
    <xf numFmtId="165" fontId="2" fillId="9" borderId="58" xfId="1" applyNumberFormat="1" applyFont="1" applyFill="1" applyBorder="1" applyAlignment="1">
      <alignment horizontal="center" vertical="center"/>
    </xf>
    <xf numFmtId="165" fontId="2" fillId="9" borderId="34" xfId="1" applyNumberFormat="1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left" vertical="center" wrapText="1"/>
    </xf>
    <xf numFmtId="0" fontId="2" fillId="0" borderId="17" xfId="1" applyFont="1" applyBorder="1"/>
    <xf numFmtId="0" fontId="2" fillId="0" borderId="0" xfId="1" applyFont="1"/>
    <xf numFmtId="165" fontId="4" fillId="0" borderId="50" xfId="1" applyNumberFormat="1" applyFont="1" applyBorder="1" applyAlignment="1">
      <alignment horizontal="center" vertical="center"/>
    </xf>
    <xf numFmtId="165" fontId="4" fillId="0" borderId="30" xfId="1" applyNumberFormat="1" applyFont="1" applyBorder="1" applyAlignment="1">
      <alignment horizontal="center" vertical="center"/>
    </xf>
    <xf numFmtId="165" fontId="4" fillId="0" borderId="35" xfId="1" applyNumberFormat="1" applyFont="1" applyBorder="1" applyAlignment="1">
      <alignment horizontal="center" vertical="center"/>
    </xf>
    <xf numFmtId="165" fontId="5" fillId="3" borderId="57" xfId="0" applyNumberFormat="1" applyFont="1" applyFill="1" applyBorder="1" applyAlignment="1">
      <alignment horizontal="center" vertical="center"/>
    </xf>
    <xf numFmtId="165" fontId="4" fillId="0" borderId="26" xfId="0" applyNumberFormat="1" applyFont="1" applyFill="1" applyBorder="1" applyAlignment="1">
      <alignment horizontal="center" vertical="center"/>
    </xf>
    <xf numFmtId="49" fontId="6" fillId="8" borderId="0" xfId="0" applyNumberFormat="1" applyFont="1" applyFill="1" applyBorder="1" applyAlignment="1">
      <alignment vertical="center"/>
    </xf>
    <xf numFmtId="0" fontId="2" fillId="8" borderId="0" xfId="1" applyFont="1" applyFill="1"/>
    <xf numFmtId="0" fontId="2" fillId="8" borderId="0" xfId="0" applyFont="1" applyFill="1"/>
    <xf numFmtId="49" fontId="6" fillId="8" borderId="65" xfId="0" applyNumberFormat="1" applyFont="1" applyFill="1" applyBorder="1" applyAlignment="1">
      <alignment vertical="center"/>
    </xf>
    <xf numFmtId="165" fontId="2" fillId="9" borderId="41" xfId="0" applyNumberFormat="1" applyFont="1" applyFill="1" applyBorder="1" applyAlignment="1">
      <alignment horizontal="center" vertical="center"/>
    </xf>
    <xf numFmtId="165" fontId="2" fillId="9" borderId="30" xfId="0" applyNumberFormat="1" applyFont="1" applyFill="1" applyBorder="1" applyAlignment="1">
      <alignment horizontal="center" vertical="center"/>
    </xf>
    <xf numFmtId="165" fontId="2" fillId="9" borderId="32" xfId="0" applyNumberFormat="1" applyFont="1" applyFill="1" applyBorder="1" applyAlignment="1">
      <alignment horizontal="center" vertical="center"/>
    </xf>
    <xf numFmtId="165" fontId="2" fillId="9" borderId="35" xfId="0" applyNumberFormat="1" applyFont="1" applyFill="1" applyBorder="1" applyAlignment="1">
      <alignment horizontal="center" vertical="center"/>
    </xf>
    <xf numFmtId="165" fontId="2" fillId="9" borderId="50" xfId="0" applyNumberFormat="1" applyFont="1" applyFill="1" applyBorder="1" applyAlignment="1">
      <alignment horizontal="center" vertical="center"/>
    </xf>
    <xf numFmtId="165" fontId="2" fillId="11" borderId="50" xfId="0" applyNumberFormat="1" applyFont="1" applyFill="1" applyBorder="1" applyAlignment="1">
      <alignment horizontal="center" vertical="center"/>
    </xf>
    <xf numFmtId="165" fontId="2" fillId="11" borderId="29" xfId="0" applyNumberFormat="1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 wrapText="1"/>
    </xf>
    <xf numFmtId="165" fontId="2" fillId="10" borderId="29" xfId="0" applyNumberFormat="1" applyFont="1" applyFill="1" applyBorder="1" applyAlignment="1">
      <alignment horizontal="center" vertical="center" wrapText="1"/>
    </xf>
    <xf numFmtId="165" fontId="2" fillId="10" borderId="30" xfId="0" applyNumberFormat="1" applyFont="1" applyFill="1" applyBorder="1" applyAlignment="1">
      <alignment horizontal="center" vertical="center" wrapText="1"/>
    </xf>
    <xf numFmtId="165" fontId="2" fillId="10" borderId="35" xfId="0" applyNumberFormat="1" applyFont="1" applyFill="1" applyBorder="1" applyAlignment="1">
      <alignment horizontal="center" vertical="center" wrapText="1"/>
    </xf>
    <xf numFmtId="165" fontId="2" fillId="10" borderId="50" xfId="0" applyNumberFormat="1" applyFont="1" applyFill="1" applyBorder="1" applyAlignment="1">
      <alignment horizontal="center" vertical="center" wrapText="1"/>
    </xf>
    <xf numFmtId="165" fontId="2" fillId="10" borderId="31" xfId="0" applyNumberFormat="1" applyFont="1" applyFill="1" applyBorder="1" applyAlignment="1">
      <alignment horizontal="center" vertical="center" wrapText="1"/>
    </xf>
    <xf numFmtId="165" fontId="3" fillId="12" borderId="43" xfId="0" applyNumberFormat="1" applyFont="1" applyFill="1" applyBorder="1" applyAlignment="1">
      <alignment horizontal="center" vertical="center" wrapText="1"/>
    </xf>
    <xf numFmtId="165" fontId="3" fillId="12" borderId="10" xfId="0" applyNumberFormat="1" applyFont="1" applyFill="1" applyBorder="1" applyAlignment="1">
      <alignment horizontal="center" vertical="center" wrapText="1"/>
    </xf>
    <xf numFmtId="165" fontId="3" fillId="12" borderId="22" xfId="0" applyNumberFormat="1" applyFont="1" applyFill="1" applyBorder="1" applyAlignment="1">
      <alignment horizontal="center" vertical="center" wrapText="1"/>
    </xf>
    <xf numFmtId="165" fontId="3" fillId="12" borderId="20" xfId="0" applyNumberFormat="1" applyFont="1" applyFill="1" applyBorder="1" applyAlignment="1">
      <alignment horizontal="center" vertical="center" wrapText="1"/>
    </xf>
    <xf numFmtId="165" fontId="3" fillId="12" borderId="29" xfId="0" applyNumberFormat="1" applyFont="1" applyFill="1" applyBorder="1" applyAlignment="1">
      <alignment horizontal="center" vertical="center" wrapText="1"/>
    </xf>
    <xf numFmtId="165" fontId="3" fillId="12" borderId="30" xfId="0" applyNumberFormat="1" applyFont="1" applyFill="1" applyBorder="1" applyAlignment="1">
      <alignment horizontal="center" vertical="center" wrapText="1"/>
    </xf>
    <xf numFmtId="165" fontId="3" fillId="12" borderId="35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5" fillId="0" borderId="50" xfId="1" applyNumberFormat="1" applyFont="1" applyBorder="1" applyAlignment="1">
      <alignment horizontal="center" vertical="center"/>
    </xf>
    <xf numFmtId="165" fontId="5" fillId="0" borderId="30" xfId="1" applyNumberFormat="1" applyFont="1" applyBorder="1" applyAlignment="1">
      <alignment horizontal="center" vertical="center"/>
    </xf>
    <xf numFmtId="165" fontId="5" fillId="0" borderId="35" xfId="1" applyNumberFormat="1" applyFont="1" applyBorder="1" applyAlignment="1">
      <alignment horizontal="center" vertical="center"/>
    </xf>
    <xf numFmtId="0" fontId="5" fillId="8" borderId="42" xfId="0" applyFont="1" applyFill="1" applyBorder="1" applyAlignment="1">
      <alignment horizontal="center" vertical="center" wrapText="1"/>
    </xf>
    <xf numFmtId="165" fontId="5" fillId="8" borderId="8" xfId="1" applyNumberFormat="1" applyFont="1" applyFill="1" applyBorder="1" applyAlignment="1">
      <alignment horizontal="center" vertical="center"/>
    </xf>
    <xf numFmtId="165" fontId="5" fillId="8" borderId="15" xfId="1" applyNumberFormat="1" applyFont="1" applyFill="1" applyBorder="1" applyAlignment="1">
      <alignment horizontal="center" vertical="center"/>
    </xf>
    <xf numFmtId="165" fontId="5" fillId="8" borderId="9" xfId="1" applyNumberFormat="1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 wrapText="1"/>
    </xf>
    <xf numFmtId="165" fontId="5" fillId="8" borderId="30" xfId="1" applyNumberFormat="1" applyFont="1" applyFill="1" applyBorder="1" applyAlignment="1">
      <alignment horizontal="center" vertical="center"/>
    </xf>
    <xf numFmtId="165" fontId="5" fillId="8" borderId="31" xfId="1" applyNumberFormat="1" applyFont="1" applyFill="1" applyBorder="1" applyAlignment="1">
      <alignment horizontal="center" vertical="center"/>
    </xf>
    <xf numFmtId="165" fontId="12" fillId="8" borderId="4" xfId="0" applyNumberFormat="1" applyFont="1" applyFill="1" applyBorder="1" applyAlignment="1">
      <alignment horizontal="center" vertical="center"/>
    </xf>
    <xf numFmtId="165" fontId="12" fillId="8" borderId="53" xfId="0" applyNumberFormat="1" applyFont="1" applyFill="1" applyBorder="1" applyAlignment="1">
      <alignment horizontal="center" vertical="center"/>
    </xf>
    <xf numFmtId="165" fontId="12" fillId="8" borderId="65" xfId="0" applyNumberFormat="1" applyFont="1" applyFill="1" applyBorder="1" applyAlignment="1">
      <alignment horizontal="center" vertical="center"/>
    </xf>
    <xf numFmtId="165" fontId="12" fillId="8" borderId="53" xfId="1" applyNumberFormat="1" applyFont="1" applyFill="1" applyBorder="1" applyAlignment="1">
      <alignment horizontal="center" vertical="center"/>
    </xf>
    <xf numFmtId="165" fontId="5" fillId="8" borderId="26" xfId="0" applyNumberFormat="1" applyFont="1" applyFill="1" applyBorder="1" applyAlignment="1">
      <alignment horizontal="center" vertical="center" wrapText="1"/>
    </xf>
    <xf numFmtId="165" fontId="5" fillId="8" borderId="39" xfId="0" applyNumberFormat="1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165" fontId="5" fillId="8" borderId="9" xfId="0" applyNumberFormat="1" applyFont="1" applyFill="1" applyBorder="1" applyAlignment="1">
      <alignment horizontal="center" vertical="center"/>
    </xf>
    <xf numFmtId="165" fontId="5" fillId="8" borderId="73" xfId="0" applyNumberFormat="1" applyFont="1" applyFill="1" applyBorder="1" applyAlignment="1">
      <alignment horizontal="center" vertical="center"/>
    </xf>
    <xf numFmtId="165" fontId="5" fillId="8" borderId="16" xfId="0" applyNumberFormat="1" applyFont="1" applyFill="1" applyBorder="1" applyAlignment="1">
      <alignment horizontal="center" vertical="center"/>
    </xf>
    <xf numFmtId="0" fontId="2" fillId="0" borderId="0" xfId="1" applyFont="1"/>
    <xf numFmtId="165" fontId="2" fillId="3" borderId="60" xfId="0" applyNumberFormat="1" applyFont="1" applyFill="1" applyBorder="1" applyAlignment="1">
      <alignment horizontal="center" vertical="center"/>
    </xf>
    <xf numFmtId="165" fontId="2" fillId="3" borderId="49" xfId="0" applyNumberFormat="1" applyFont="1" applyFill="1" applyBorder="1" applyAlignment="1">
      <alignment horizontal="center" vertical="center"/>
    </xf>
    <xf numFmtId="165" fontId="2" fillId="9" borderId="2" xfId="0" applyNumberFormat="1" applyFont="1" applyFill="1" applyBorder="1" applyAlignment="1">
      <alignment horizontal="center" vertical="center"/>
    </xf>
    <xf numFmtId="165" fontId="12" fillId="8" borderId="15" xfId="0" applyNumberFormat="1" applyFont="1" applyFill="1" applyBorder="1" applyAlignment="1">
      <alignment horizontal="center" vertical="center"/>
    </xf>
    <xf numFmtId="165" fontId="12" fillId="8" borderId="15" xfId="1" applyNumberFormat="1" applyFont="1" applyFill="1" applyBorder="1" applyAlignment="1">
      <alignment horizontal="center" vertical="center"/>
    </xf>
    <xf numFmtId="165" fontId="2" fillId="0" borderId="15" xfId="1" applyNumberFormat="1" applyFont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 wrapText="1"/>
    </xf>
    <xf numFmtId="165" fontId="12" fillId="8" borderId="40" xfId="0" applyNumberFormat="1" applyFont="1" applyFill="1" applyBorder="1" applyAlignment="1">
      <alignment horizontal="center" vertical="center"/>
    </xf>
    <xf numFmtId="165" fontId="12" fillId="8" borderId="3" xfId="0" applyNumberFormat="1" applyFont="1" applyFill="1" applyBorder="1" applyAlignment="1">
      <alignment horizontal="center" vertical="center"/>
    </xf>
    <xf numFmtId="165" fontId="12" fillId="8" borderId="8" xfId="0" applyNumberFormat="1" applyFont="1" applyFill="1" applyBorder="1" applyAlignment="1">
      <alignment horizontal="center" vertical="center"/>
    </xf>
    <xf numFmtId="165" fontId="12" fillId="8" borderId="9" xfId="0" applyNumberFormat="1" applyFont="1" applyFill="1" applyBorder="1" applyAlignment="1">
      <alignment horizontal="center" vertical="center"/>
    </xf>
    <xf numFmtId="165" fontId="12" fillId="8" borderId="54" xfId="0" applyNumberFormat="1" applyFont="1" applyFill="1" applyBorder="1" applyAlignment="1">
      <alignment horizontal="center" vertical="center"/>
    </xf>
    <xf numFmtId="165" fontId="12" fillId="8" borderId="40" xfId="1" applyNumberFormat="1" applyFont="1" applyFill="1" applyBorder="1" applyAlignment="1">
      <alignment horizontal="center" vertical="center"/>
    </xf>
    <xf numFmtId="165" fontId="12" fillId="8" borderId="4" xfId="1" applyNumberFormat="1" applyFont="1" applyFill="1" applyBorder="1" applyAlignment="1">
      <alignment horizontal="center" vertical="center"/>
    </xf>
    <xf numFmtId="165" fontId="12" fillId="8" borderId="3" xfId="1" applyNumberFormat="1" applyFont="1" applyFill="1" applyBorder="1" applyAlignment="1">
      <alignment horizontal="center" vertical="center"/>
    </xf>
    <xf numFmtId="165" fontId="12" fillId="8" borderId="8" xfId="1" applyNumberFormat="1" applyFont="1" applyFill="1" applyBorder="1" applyAlignment="1">
      <alignment horizontal="center" vertical="center"/>
    </xf>
    <xf numFmtId="165" fontId="12" fillId="8" borderId="9" xfId="1" applyNumberFormat="1" applyFont="1" applyFill="1" applyBorder="1" applyAlignment="1">
      <alignment horizontal="center" vertical="center"/>
    </xf>
    <xf numFmtId="165" fontId="12" fillId="8" borderId="54" xfId="1" applyNumberFormat="1" applyFont="1" applyFill="1" applyBorder="1" applyAlignment="1">
      <alignment horizontal="center" vertical="center"/>
    </xf>
    <xf numFmtId="165" fontId="12" fillId="8" borderId="65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9" xfId="1" applyNumberFormat="1" applyFont="1" applyBorder="1" applyAlignment="1">
      <alignment horizontal="center" vertical="center"/>
    </xf>
    <xf numFmtId="165" fontId="2" fillId="0" borderId="54" xfId="1" applyNumberFormat="1" applyFont="1" applyBorder="1" applyAlignment="1">
      <alignment horizontal="center" vertical="center"/>
    </xf>
    <xf numFmtId="165" fontId="2" fillId="0" borderId="65" xfId="1" applyNumberFormat="1" applyFont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165" fontId="3" fillId="0" borderId="71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54" xfId="0" applyNumberFormat="1" applyFont="1" applyBorder="1" applyAlignment="1">
      <alignment horizontal="center" vertical="center"/>
    </xf>
    <xf numFmtId="165" fontId="3" fillId="0" borderId="65" xfId="0" applyNumberFormat="1" applyFont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165" fontId="5" fillId="8" borderId="52" xfId="0" applyNumberFormat="1" applyFont="1" applyFill="1" applyBorder="1" applyAlignment="1">
      <alignment horizontal="center" vertical="center" wrapText="1"/>
    </xf>
    <xf numFmtId="165" fontId="5" fillId="8" borderId="26" xfId="0" applyNumberFormat="1" applyFont="1" applyFill="1" applyBorder="1" applyAlignment="1">
      <alignment horizontal="center" vertical="center"/>
    </xf>
    <xf numFmtId="165" fontId="5" fillId="8" borderId="12" xfId="0" applyNumberFormat="1" applyFont="1" applyFill="1" applyBorder="1" applyAlignment="1">
      <alignment horizontal="center" vertical="center"/>
    </xf>
    <xf numFmtId="165" fontId="5" fillId="8" borderId="16" xfId="1" applyNumberFormat="1" applyFont="1" applyFill="1" applyBorder="1" applyAlignment="1">
      <alignment horizontal="center" vertical="center"/>
    </xf>
    <xf numFmtId="165" fontId="5" fillId="8" borderId="25" xfId="1" applyNumberFormat="1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 wrapText="1"/>
    </xf>
    <xf numFmtId="0" fontId="2" fillId="8" borderId="59" xfId="0" applyFont="1" applyFill="1" applyBorder="1" applyAlignment="1">
      <alignment horizontal="center" vertical="center" wrapText="1"/>
    </xf>
    <xf numFmtId="165" fontId="5" fillId="8" borderId="40" xfId="1" applyNumberFormat="1" applyFont="1" applyFill="1" applyBorder="1" applyAlignment="1">
      <alignment horizontal="center" vertical="center"/>
    </xf>
    <xf numFmtId="165" fontId="5" fillId="8" borderId="4" xfId="1" applyNumberFormat="1" applyFont="1" applyFill="1" applyBorder="1" applyAlignment="1">
      <alignment horizontal="center" vertical="center"/>
    </xf>
    <xf numFmtId="165" fontId="5" fillId="8" borderId="3" xfId="1" applyNumberFormat="1" applyFont="1" applyFill="1" applyBorder="1" applyAlignment="1">
      <alignment horizontal="center" vertical="center"/>
    </xf>
    <xf numFmtId="165" fontId="5" fillId="8" borderId="12" xfId="1" applyNumberFormat="1" applyFont="1" applyFill="1" applyBorder="1" applyAlignment="1">
      <alignment horizontal="center" vertical="center"/>
    </xf>
    <xf numFmtId="165" fontId="5" fillId="8" borderId="40" xfId="0" applyNumberFormat="1" applyFont="1" applyFill="1" applyBorder="1" applyAlignment="1">
      <alignment horizontal="center" vertical="center"/>
    </xf>
    <xf numFmtId="165" fontId="5" fillId="8" borderId="25" xfId="0" applyNumberFormat="1" applyFont="1" applyFill="1" applyBorder="1" applyAlignment="1">
      <alignment horizontal="center" vertical="center"/>
    </xf>
    <xf numFmtId="165" fontId="5" fillId="0" borderId="52" xfId="0" applyNumberFormat="1" applyFont="1" applyFill="1" applyBorder="1" applyAlignment="1">
      <alignment horizontal="center" vertical="center" wrapText="1"/>
    </xf>
    <xf numFmtId="165" fontId="12" fillId="0" borderId="8" xfId="0" applyNumberFormat="1" applyFont="1" applyFill="1" applyBorder="1" applyAlignment="1">
      <alignment horizontal="center" vertical="center"/>
    </xf>
    <xf numFmtId="165" fontId="12" fillId="0" borderId="15" xfId="0" applyNumberFormat="1" applyFont="1" applyFill="1" applyBorder="1" applyAlignment="1">
      <alignment horizontal="center" vertical="center"/>
    </xf>
    <xf numFmtId="165" fontId="12" fillId="0" borderId="9" xfId="0" applyNumberFormat="1" applyFont="1" applyFill="1" applyBorder="1" applyAlignment="1">
      <alignment horizontal="center" vertical="center"/>
    </xf>
    <xf numFmtId="165" fontId="12" fillId="0" borderId="53" xfId="0" applyNumberFormat="1" applyFont="1" applyFill="1" applyBorder="1" applyAlignment="1">
      <alignment horizontal="center" vertical="center"/>
    </xf>
    <xf numFmtId="165" fontId="12" fillId="0" borderId="54" xfId="0" applyNumberFormat="1" applyFont="1" applyFill="1" applyBorder="1" applyAlignment="1">
      <alignment horizontal="center" vertical="center"/>
    </xf>
    <xf numFmtId="165" fontId="12" fillId="0" borderId="65" xfId="0" applyNumberFormat="1" applyFont="1" applyFill="1" applyBorder="1" applyAlignment="1">
      <alignment horizontal="center" vertical="center"/>
    </xf>
    <xf numFmtId="165" fontId="5" fillId="0" borderId="40" xfId="1" applyNumberFormat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/>
    </xf>
    <xf numFmtId="165" fontId="5" fillId="0" borderId="12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/>
    </xf>
    <xf numFmtId="165" fontId="5" fillId="0" borderId="8" xfId="1" applyNumberFormat="1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9" xfId="1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8" borderId="61" xfId="0" applyFont="1" applyFill="1" applyBorder="1" applyAlignment="1">
      <alignment horizontal="center" vertical="center" wrapText="1"/>
    </xf>
    <xf numFmtId="165" fontId="2" fillId="8" borderId="18" xfId="0" applyNumberFormat="1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 wrapText="1"/>
    </xf>
    <xf numFmtId="165" fontId="2" fillId="8" borderId="35" xfId="0" applyNumberFormat="1" applyFont="1" applyFill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2" fillId="0" borderId="0" xfId="1" applyFont="1"/>
    <xf numFmtId="0" fontId="6" fillId="0" borderId="10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0" xfId="1" applyFont="1"/>
    <xf numFmtId="0" fontId="6" fillId="0" borderId="60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5" fillId="3" borderId="48" xfId="0" applyNumberFormat="1" applyFont="1" applyFill="1" applyBorder="1" applyAlignment="1">
      <alignment horizontal="center" vertical="center"/>
    </xf>
    <xf numFmtId="165" fontId="5" fillId="3" borderId="20" xfId="0" applyNumberFormat="1" applyFont="1" applyFill="1" applyBorder="1" applyAlignment="1">
      <alignment horizontal="center" vertical="center"/>
    </xf>
    <xf numFmtId="165" fontId="5" fillId="3" borderId="43" xfId="0" applyNumberFormat="1" applyFont="1" applyFill="1" applyBorder="1" applyAlignment="1">
      <alignment horizontal="center" vertical="center"/>
    </xf>
    <xf numFmtId="165" fontId="5" fillId="3" borderId="6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2" fillId="0" borderId="43" xfId="0" applyNumberFormat="1" applyFont="1" applyFill="1" applyBorder="1" applyAlignment="1">
      <alignment horizontal="center" vertical="center" wrapText="1"/>
    </xf>
    <xf numFmtId="165" fontId="2" fillId="9" borderId="57" xfId="0" applyNumberFormat="1" applyFont="1" applyFill="1" applyBorder="1" applyAlignment="1">
      <alignment horizontal="center" vertical="center"/>
    </xf>
    <xf numFmtId="165" fontId="2" fillId="9" borderId="58" xfId="0" applyNumberFormat="1" applyFont="1" applyFill="1" applyBorder="1" applyAlignment="1">
      <alignment horizontal="center" vertical="center"/>
    </xf>
    <xf numFmtId="165" fontId="2" fillId="9" borderId="61" xfId="0" applyNumberFormat="1" applyFont="1" applyFill="1" applyBorder="1" applyAlignment="1">
      <alignment horizontal="center" vertical="center"/>
    </xf>
    <xf numFmtId="165" fontId="2" fillId="9" borderId="3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75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165" fontId="5" fillId="8" borderId="53" xfId="0" applyNumberFormat="1" applyFont="1" applyFill="1" applyBorder="1" applyAlignment="1">
      <alignment horizontal="center" vertical="center"/>
    </xf>
    <xf numFmtId="165" fontId="5" fillId="8" borderId="54" xfId="0" applyNumberFormat="1" applyFont="1" applyFill="1" applyBorder="1" applyAlignment="1">
      <alignment horizontal="center" vertical="center"/>
    </xf>
    <xf numFmtId="165" fontId="5" fillId="8" borderId="65" xfId="0" applyNumberFormat="1" applyFont="1" applyFill="1" applyBorder="1" applyAlignment="1">
      <alignment horizontal="center" vertical="center"/>
    </xf>
    <xf numFmtId="165" fontId="5" fillId="0" borderId="57" xfId="0" applyNumberFormat="1" applyFont="1" applyFill="1" applyBorder="1" applyAlignment="1">
      <alignment horizontal="center" vertical="center"/>
    </xf>
    <xf numFmtId="165" fontId="5" fillId="0" borderId="58" xfId="0" applyNumberFormat="1" applyFont="1" applyFill="1" applyBorder="1" applyAlignment="1">
      <alignment horizontal="center" vertical="center"/>
    </xf>
    <xf numFmtId="165" fontId="5" fillId="0" borderId="72" xfId="0" applyNumberFormat="1" applyFont="1" applyFill="1" applyBorder="1" applyAlignment="1">
      <alignment horizontal="center" vertical="center"/>
    </xf>
    <xf numFmtId="0" fontId="2" fillId="0" borderId="0" xfId="1" applyFont="1"/>
    <xf numFmtId="0" fontId="6" fillId="0" borderId="10" xfId="0" applyFont="1" applyFill="1" applyBorder="1" applyAlignment="1">
      <alignment horizontal="center" vertical="center" wrapText="1"/>
    </xf>
    <xf numFmtId="165" fontId="2" fillId="11" borderId="32" xfId="0" applyNumberFormat="1" applyFont="1" applyFill="1" applyBorder="1" applyAlignment="1">
      <alignment horizontal="center" vertical="center"/>
    </xf>
    <xf numFmtId="165" fontId="2" fillId="11" borderId="5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165" fontId="2" fillId="0" borderId="57" xfId="0" applyNumberFormat="1" applyFont="1" applyFill="1" applyBorder="1" applyAlignment="1">
      <alignment horizontal="center" vertical="center"/>
    </xf>
    <xf numFmtId="165" fontId="2" fillId="0" borderId="34" xfId="1" applyNumberFormat="1" applyFont="1" applyBorder="1" applyAlignment="1">
      <alignment horizontal="center" vertical="center"/>
    </xf>
    <xf numFmtId="165" fontId="5" fillId="0" borderId="70" xfId="1" applyNumberFormat="1" applyFont="1" applyBorder="1" applyAlignment="1">
      <alignment horizontal="center" vertical="center"/>
    </xf>
    <xf numFmtId="165" fontId="5" fillId="0" borderId="58" xfId="1" applyNumberFormat="1" applyFont="1" applyBorder="1" applyAlignment="1">
      <alignment horizontal="center" vertical="center"/>
    </xf>
    <xf numFmtId="165" fontId="5" fillId="0" borderId="34" xfId="1" applyNumberFormat="1" applyFont="1" applyBorder="1" applyAlignment="1">
      <alignment horizontal="center" vertical="center"/>
    </xf>
    <xf numFmtId="165" fontId="5" fillId="0" borderId="59" xfId="1" applyNumberFormat="1" applyFont="1" applyBorder="1" applyAlignment="1">
      <alignment horizontal="center" vertical="center"/>
    </xf>
    <xf numFmtId="165" fontId="5" fillId="0" borderId="71" xfId="1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5" fontId="5" fillId="0" borderId="47" xfId="1" applyNumberFormat="1" applyFont="1" applyBorder="1" applyAlignment="1">
      <alignment horizontal="center" vertical="center"/>
    </xf>
    <xf numFmtId="165" fontId="5" fillId="0" borderId="4" xfId="1" applyNumberFormat="1" applyFont="1" applyBorder="1" applyAlignment="1">
      <alignment horizontal="center" vertical="center"/>
    </xf>
    <xf numFmtId="165" fontId="5" fillId="0" borderId="3" xfId="1" applyNumberFormat="1" applyFont="1" applyBorder="1" applyAlignment="1">
      <alignment horizontal="center" vertical="center"/>
    </xf>
    <xf numFmtId="165" fontId="5" fillId="0" borderId="42" xfId="1" applyNumberFormat="1" applyFont="1" applyBorder="1" applyAlignment="1">
      <alignment horizontal="center" vertical="center"/>
    </xf>
    <xf numFmtId="165" fontId="5" fillId="0" borderId="40" xfId="1" applyNumberFormat="1" applyFont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68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0" fontId="2" fillId="8" borderId="10" xfId="1" applyFont="1" applyFill="1" applyBorder="1" applyAlignment="1">
      <alignment horizontal="center" vertical="center"/>
    </xf>
    <xf numFmtId="165" fontId="2" fillId="8" borderId="0" xfId="1" applyNumberFormat="1" applyFont="1" applyFill="1"/>
    <xf numFmtId="0" fontId="6" fillId="0" borderId="1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2" fillId="0" borderId="0" xfId="1" applyFont="1"/>
    <xf numFmtId="0" fontId="2" fillId="9" borderId="29" xfId="1" applyFont="1" applyFill="1" applyBorder="1" applyAlignment="1">
      <alignment horizontal="right" vertical="center"/>
    </xf>
    <xf numFmtId="0" fontId="2" fillId="9" borderId="30" xfId="1" applyFont="1" applyFill="1" applyBorder="1" applyAlignment="1">
      <alignment horizontal="right" vertical="center"/>
    </xf>
    <xf numFmtId="0" fontId="2" fillId="9" borderId="35" xfId="1" applyFont="1" applyFill="1" applyBorder="1" applyAlignment="1">
      <alignment horizontal="right" vertical="center"/>
    </xf>
    <xf numFmtId="0" fontId="6" fillId="5" borderId="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right" vertical="center" wrapText="1"/>
    </xf>
    <xf numFmtId="0" fontId="6" fillId="3" borderId="32" xfId="0" applyFont="1" applyFill="1" applyBorder="1" applyAlignment="1">
      <alignment horizontal="right" vertical="center" wrapText="1"/>
    </xf>
    <xf numFmtId="0" fontId="6" fillId="3" borderId="51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10" borderId="8" xfId="1" applyFont="1" applyFill="1" applyBorder="1" applyAlignment="1">
      <alignment horizontal="center" vertical="center"/>
    </xf>
    <xf numFmtId="0" fontId="2" fillId="11" borderId="15" xfId="1" applyFont="1" applyFill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4" xfId="1" applyFont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24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7" fillId="5" borderId="12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51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6" fillId="2" borderId="51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right" vertical="center" wrapText="1"/>
    </xf>
    <xf numFmtId="0" fontId="6" fillId="3" borderId="60" xfId="0" applyFont="1" applyFill="1" applyBorder="1" applyAlignment="1">
      <alignment horizontal="right" vertical="center" wrapText="1"/>
    </xf>
    <xf numFmtId="0" fontId="6" fillId="3" borderId="37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5" fontId="2" fillId="0" borderId="40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42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textRotation="90"/>
    </xf>
    <xf numFmtId="165" fontId="2" fillId="0" borderId="12" xfId="0" applyNumberFormat="1" applyFont="1" applyBorder="1" applyAlignment="1">
      <alignment horizontal="center" vertical="center" textRotation="90"/>
    </xf>
    <xf numFmtId="165" fontId="2" fillId="0" borderId="15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textRotation="90" wrapText="1"/>
    </xf>
    <xf numFmtId="165" fontId="2" fillId="0" borderId="13" xfId="0" applyNumberFormat="1" applyFont="1" applyBorder="1" applyAlignment="1">
      <alignment horizontal="center" vertical="center" textRotation="90" wrapText="1"/>
    </xf>
    <xf numFmtId="49" fontId="6" fillId="8" borderId="13" xfId="0" applyNumberFormat="1" applyFont="1" applyFill="1" applyBorder="1" applyAlignment="1">
      <alignment horizontal="center" vertical="center"/>
    </xf>
    <xf numFmtId="49" fontId="6" fillId="8" borderId="5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vertical="center" textRotation="90" wrapText="1"/>
    </xf>
    <xf numFmtId="0" fontId="2" fillId="0" borderId="11" xfId="0" applyFont="1" applyBorder="1" applyAlignment="1">
      <alignment vertical="center" textRotation="90" wrapText="1"/>
    </xf>
    <xf numFmtId="49" fontId="6" fillId="0" borderId="16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left" vertical="center" wrapText="1"/>
    </xf>
    <xf numFmtId="0" fontId="6" fillId="5" borderId="41" xfId="0" applyFont="1" applyFill="1" applyBorder="1" applyAlignment="1">
      <alignment horizontal="left" vertical="center" wrapText="1"/>
    </xf>
    <xf numFmtId="0" fontId="6" fillId="5" borderId="32" xfId="0" applyFont="1" applyFill="1" applyBorder="1" applyAlignment="1">
      <alignment horizontal="left" vertical="center" wrapText="1"/>
    </xf>
    <xf numFmtId="0" fontId="6" fillId="5" borderId="51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 textRotation="90" wrapText="1"/>
    </xf>
    <xf numFmtId="165" fontId="2" fillId="0" borderId="25" xfId="0" applyNumberFormat="1" applyFont="1" applyBorder="1" applyAlignment="1">
      <alignment horizontal="center" vertical="center" textRotation="90" wrapText="1"/>
    </xf>
    <xf numFmtId="0" fontId="6" fillId="5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left" vertical="center" wrapText="1"/>
    </xf>
    <xf numFmtId="0" fontId="2" fillId="8" borderId="15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165" fontId="2" fillId="0" borderId="61" xfId="0" applyNumberFormat="1" applyFont="1" applyFill="1" applyBorder="1" applyAlignment="1">
      <alignment horizontal="center"/>
    </xf>
    <xf numFmtId="0" fontId="2" fillId="0" borderId="17" xfId="1" applyFont="1" applyBorder="1"/>
    <xf numFmtId="0" fontId="2" fillId="0" borderId="0" xfId="1" applyFont="1" applyBorder="1"/>
    <xf numFmtId="0" fontId="6" fillId="0" borderId="1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64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 wrapText="1"/>
    </xf>
    <xf numFmtId="0" fontId="6" fillId="6" borderId="41" xfId="0" applyFont="1" applyFill="1" applyBorder="1" applyAlignment="1">
      <alignment horizontal="left" vertical="center" wrapText="1"/>
    </xf>
    <xf numFmtId="0" fontId="6" fillId="6" borderId="32" xfId="0" applyFont="1" applyFill="1" applyBorder="1" applyAlignment="1">
      <alignment horizontal="left" vertical="center" wrapText="1"/>
    </xf>
    <xf numFmtId="0" fontId="6" fillId="6" borderId="51" xfId="0" applyFont="1" applyFill="1" applyBorder="1" applyAlignment="1">
      <alignment horizontal="left" vertical="center" wrapText="1"/>
    </xf>
    <xf numFmtId="0" fontId="6" fillId="7" borderId="41" xfId="0" applyFont="1" applyFill="1" applyBorder="1" applyAlignment="1">
      <alignment horizontal="left" vertical="center" wrapText="1"/>
    </xf>
    <xf numFmtId="0" fontId="6" fillId="7" borderId="32" xfId="0" applyFont="1" applyFill="1" applyBorder="1" applyAlignment="1">
      <alignment horizontal="left" vertical="center" wrapText="1"/>
    </xf>
    <xf numFmtId="0" fontId="6" fillId="7" borderId="51" xfId="0" applyFont="1" applyFill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textRotation="90" wrapText="1"/>
    </xf>
    <xf numFmtId="0" fontId="2" fillId="0" borderId="63" xfId="0" applyFont="1" applyBorder="1" applyAlignment="1">
      <alignment horizontal="center" vertical="center" textRotation="90" wrapText="1"/>
    </xf>
    <xf numFmtId="0" fontId="2" fillId="5" borderId="1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right"/>
    </xf>
    <xf numFmtId="0" fontId="8" fillId="0" borderId="41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10" borderId="48" xfId="0" applyFont="1" applyFill="1" applyBorder="1" applyAlignment="1">
      <alignment horizontal="right" vertical="center" wrapText="1"/>
    </xf>
    <xf numFmtId="0" fontId="6" fillId="10" borderId="60" xfId="0" applyFont="1" applyFill="1" applyBorder="1" applyAlignment="1">
      <alignment horizontal="right" vertical="center" wrapText="1"/>
    </xf>
    <xf numFmtId="0" fontId="6" fillId="10" borderId="3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11" borderId="41" xfId="0" applyFont="1" applyFill="1" applyBorder="1" applyAlignment="1">
      <alignment horizontal="right" vertical="center"/>
    </xf>
    <xf numFmtId="0" fontId="6" fillId="11" borderId="32" xfId="0" applyFont="1" applyFill="1" applyBorder="1" applyAlignment="1">
      <alignment horizontal="right" vertical="center"/>
    </xf>
    <xf numFmtId="0" fontId="6" fillId="11" borderId="51" xfId="0" applyFont="1" applyFill="1" applyBorder="1" applyAlignment="1">
      <alignment horizontal="right" vertical="center"/>
    </xf>
    <xf numFmtId="0" fontId="6" fillId="9" borderId="41" xfId="0" applyFont="1" applyFill="1" applyBorder="1" applyAlignment="1">
      <alignment horizontal="right" vertical="center" wrapText="1"/>
    </xf>
    <xf numFmtId="0" fontId="6" fillId="9" borderId="32" xfId="0" applyFont="1" applyFill="1" applyBorder="1" applyAlignment="1">
      <alignment horizontal="right" vertical="center" wrapText="1"/>
    </xf>
    <xf numFmtId="0" fontId="6" fillId="9" borderId="51" xfId="0" applyFont="1" applyFill="1" applyBorder="1" applyAlignment="1">
      <alignment horizontal="right" vertical="center" wrapText="1"/>
    </xf>
    <xf numFmtId="0" fontId="8" fillId="12" borderId="48" xfId="0" applyFont="1" applyFill="1" applyBorder="1" applyAlignment="1">
      <alignment horizontal="right" vertical="center" wrapText="1"/>
    </xf>
    <xf numFmtId="0" fontId="8" fillId="12" borderId="60" xfId="0" applyFont="1" applyFill="1" applyBorder="1" applyAlignment="1">
      <alignment horizontal="right" vertical="center" wrapText="1"/>
    </xf>
    <xf numFmtId="0" fontId="8" fillId="12" borderId="37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5" fillId="8" borderId="28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right" vertical="center"/>
    </xf>
    <xf numFmtId="0" fontId="6" fillId="2" borderId="61" xfId="0" applyFont="1" applyFill="1" applyBorder="1" applyAlignment="1">
      <alignment horizontal="right" vertical="center"/>
    </xf>
    <xf numFmtId="0" fontId="6" fillId="2" borderId="72" xfId="0" applyFont="1" applyFill="1" applyBorder="1" applyAlignment="1">
      <alignment horizontal="right" vertical="center"/>
    </xf>
    <xf numFmtId="0" fontId="6" fillId="5" borderId="41" xfId="0" applyFont="1" applyFill="1" applyBorder="1" applyAlignment="1">
      <alignment horizontal="right" vertical="center"/>
    </xf>
    <xf numFmtId="0" fontId="6" fillId="5" borderId="32" xfId="0" applyFont="1" applyFill="1" applyBorder="1" applyAlignment="1">
      <alignment horizontal="right" vertical="center"/>
    </xf>
    <xf numFmtId="0" fontId="6" fillId="5" borderId="51" xfId="0" applyFont="1" applyFill="1" applyBorder="1" applyAlignment="1">
      <alignment horizontal="right" vertical="center"/>
    </xf>
    <xf numFmtId="0" fontId="6" fillId="8" borderId="15" xfId="0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2" fillId="10" borderId="38" xfId="1" applyFont="1" applyFill="1" applyBorder="1" applyAlignment="1">
      <alignment horizontal="center" vertical="center"/>
    </xf>
    <xf numFmtId="0" fontId="2" fillId="11" borderId="5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right" vertical="center"/>
    </xf>
    <xf numFmtId="0" fontId="6" fillId="2" borderId="60" xfId="0" applyFont="1" applyFill="1" applyBorder="1" applyAlignment="1">
      <alignment horizontal="right" vertical="center"/>
    </xf>
    <xf numFmtId="0" fontId="6" fillId="2" borderId="37" xfId="0" applyFont="1" applyFill="1" applyBorder="1" applyAlignment="1">
      <alignment horizontal="right" vertical="center"/>
    </xf>
    <xf numFmtId="0" fontId="6" fillId="2" borderId="41" xfId="0" applyFont="1" applyFill="1" applyBorder="1" applyAlignment="1">
      <alignment horizontal="right" vertical="center" wrapText="1"/>
    </xf>
    <xf numFmtId="0" fontId="6" fillId="2" borderId="32" xfId="0" applyFont="1" applyFill="1" applyBorder="1" applyAlignment="1">
      <alignment horizontal="right" vertical="center" wrapText="1"/>
    </xf>
    <xf numFmtId="0" fontId="6" fillId="2" borderId="51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right" vertical="center"/>
    </xf>
    <xf numFmtId="0" fontId="6" fillId="2" borderId="32" xfId="0" applyFont="1" applyFill="1" applyBorder="1" applyAlignment="1">
      <alignment horizontal="right" vertical="center"/>
    </xf>
    <xf numFmtId="0" fontId="6" fillId="2" borderId="51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27" xfId="0" applyFont="1" applyFill="1" applyBorder="1" applyAlignment="1">
      <alignment horizontal="right" vertical="center" wrapText="1"/>
    </xf>
    <xf numFmtId="0" fontId="6" fillId="2" borderId="48" xfId="0" applyFont="1" applyFill="1" applyBorder="1" applyAlignment="1">
      <alignment horizontal="right" vertical="center" wrapText="1"/>
    </xf>
    <xf numFmtId="0" fontId="6" fillId="2" borderId="60" xfId="0" applyFont="1" applyFill="1" applyBorder="1" applyAlignment="1">
      <alignment horizontal="right" vertical="center" wrapText="1"/>
    </xf>
    <xf numFmtId="0" fontId="6" fillId="2" borderId="37" xfId="0" applyFont="1" applyFill="1" applyBorder="1" applyAlignment="1">
      <alignment horizontal="right" vertical="center" wrapText="1"/>
    </xf>
    <xf numFmtId="0" fontId="2" fillId="3" borderId="48" xfId="0" applyFont="1" applyFill="1" applyBorder="1" applyAlignment="1">
      <alignment horizontal="right" vertical="center" wrapText="1"/>
    </xf>
    <xf numFmtId="0" fontId="2" fillId="3" borderId="60" xfId="0" applyFont="1" applyFill="1" applyBorder="1" applyAlignment="1">
      <alignment horizontal="right" vertical="center" wrapText="1"/>
    </xf>
    <xf numFmtId="0" fontId="2" fillId="3" borderId="37" xfId="0" applyFont="1" applyFill="1" applyBorder="1" applyAlignment="1">
      <alignment horizontal="right" vertical="center" wrapText="1"/>
    </xf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/>
  </cellXfs>
  <cellStyles count="2">
    <cellStyle name="Įprastas" xfId="0" builtinId="0"/>
    <cellStyle name="Įprastas 2" xfId="1" xr:uid="{00000000-0005-0000-0000-000001000000}"/>
  </cellStyles>
  <dxfs count="0"/>
  <tableStyles count="0" defaultTableStyle="TableStyleMedium9" defaultPivotStyle="PivotStyleLight16"/>
  <colors>
    <mruColors>
      <color rgb="FFFF6600"/>
      <color rgb="FF99CC00"/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63"/>
  <sheetViews>
    <sheetView showZeros="0" tabSelected="1" topLeftCell="A107" zoomScaleNormal="100" zoomScaleSheetLayoutView="100" workbookViewId="0">
      <selection activeCell="T121" sqref="T121"/>
    </sheetView>
  </sheetViews>
  <sheetFormatPr defaultColWidth="9.33203125" defaultRowHeight="10.199999999999999" x14ac:dyDescent="0.2"/>
  <cols>
    <col min="1" max="2" width="3.44140625" style="70" customWidth="1"/>
    <col min="3" max="3" width="3.6640625" style="70" customWidth="1"/>
    <col min="4" max="4" width="27.6640625" style="283" customWidth="1"/>
    <col min="5" max="5" width="5.44140625" style="71" customWidth="1"/>
    <col min="6" max="6" width="9.6640625" style="72" customWidth="1"/>
    <col min="7" max="7" width="8.6640625" style="70" customWidth="1"/>
    <col min="8" max="8" width="5.33203125" style="71" customWidth="1"/>
    <col min="9" max="9" width="8.5546875" style="10" customWidth="1"/>
    <col min="10" max="10" width="7.6640625" style="11" customWidth="1"/>
    <col min="11" max="11" width="7.44140625" style="11" customWidth="1"/>
    <col min="12" max="12" width="8.6640625" style="11" customWidth="1"/>
    <col min="13" max="13" width="8.33203125" style="10" customWidth="1"/>
    <col min="14" max="16" width="7.33203125" style="11" customWidth="1"/>
    <col min="17" max="17" width="8.33203125" style="10" customWidth="1"/>
    <col min="18" max="19" width="7.6640625" style="11" customWidth="1"/>
    <col min="20" max="24" width="8.44140625" style="11" customWidth="1"/>
    <col min="25" max="25" width="21.44140625" style="269" customWidth="1"/>
    <col min="26" max="16384" width="9.33203125" style="71"/>
  </cols>
  <sheetData>
    <row r="1" spans="1:25" ht="47.25" customHeight="1" x14ac:dyDescent="0.2">
      <c r="D1" s="200"/>
      <c r="I1" s="268"/>
      <c r="J1" s="268"/>
      <c r="K1" s="268"/>
      <c r="L1" s="268"/>
      <c r="M1" s="268"/>
      <c r="N1" s="268"/>
      <c r="O1" s="268"/>
      <c r="P1" s="621"/>
      <c r="Q1" s="621"/>
      <c r="R1" s="621"/>
      <c r="S1" s="621"/>
      <c r="T1" s="621"/>
      <c r="U1" s="621" t="s">
        <v>121</v>
      </c>
      <c r="V1" s="621"/>
      <c r="W1" s="621"/>
      <c r="X1" s="621"/>
    </row>
    <row r="2" spans="1:25" ht="15.75" customHeight="1" x14ac:dyDescent="0.25">
      <c r="A2" s="634" t="s">
        <v>122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4"/>
      <c r="X2" s="634"/>
    </row>
    <row r="3" spans="1:25" ht="10.8" thickBot="1" x14ac:dyDescent="0.25">
      <c r="A3" s="658"/>
      <c r="B3" s="658"/>
      <c r="C3" s="658"/>
      <c r="D3" s="658"/>
      <c r="E3" s="658"/>
      <c r="F3" s="658"/>
      <c r="G3" s="658"/>
      <c r="H3" s="658"/>
      <c r="I3" s="658"/>
      <c r="J3" s="658"/>
      <c r="K3" s="622"/>
      <c r="L3" s="622"/>
      <c r="M3" s="270"/>
      <c r="N3" s="270"/>
      <c r="O3" s="622"/>
      <c r="P3" s="622"/>
      <c r="Q3" s="270"/>
      <c r="R3" s="270"/>
      <c r="S3" s="622"/>
      <c r="T3" s="622"/>
      <c r="U3" s="203"/>
      <c r="V3" s="203"/>
      <c r="W3" s="237" t="s">
        <v>60</v>
      </c>
      <c r="X3" s="237"/>
    </row>
    <row r="4" spans="1:25" ht="11.25" customHeight="1" x14ac:dyDescent="0.2">
      <c r="A4" s="600" t="s">
        <v>0</v>
      </c>
      <c r="B4" s="646" t="s">
        <v>1</v>
      </c>
      <c r="C4" s="600" t="s">
        <v>2</v>
      </c>
      <c r="D4" s="644" t="s">
        <v>22</v>
      </c>
      <c r="E4" s="600" t="s">
        <v>21</v>
      </c>
      <c r="F4" s="630" t="s">
        <v>3</v>
      </c>
      <c r="G4" s="646" t="s">
        <v>35</v>
      </c>
      <c r="H4" s="600" t="s">
        <v>4</v>
      </c>
      <c r="I4" s="585" t="s">
        <v>123</v>
      </c>
      <c r="J4" s="586"/>
      <c r="K4" s="586"/>
      <c r="L4" s="641"/>
      <c r="M4" s="585" t="s">
        <v>125</v>
      </c>
      <c r="N4" s="586"/>
      <c r="O4" s="586"/>
      <c r="P4" s="641"/>
      <c r="Q4" s="585" t="s">
        <v>110</v>
      </c>
      <c r="R4" s="586"/>
      <c r="S4" s="586"/>
      <c r="T4" s="587"/>
      <c r="U4" s="585" t="s">
        <v>120</v>
      </c>
      <c r="V4" s="586"/>
      <c r="W4" s="586"/>
      <c r="X4" s="641"/>
      <c r="Y4" s="530"/>
    </row>
    <row r="5" spans="1:25" ht="11.25" customHeight="1" x14ac:dyDescent="0.2">
      <c r="A5" s="601"/>
      <c r="B5" s="647"/>
      <c r="C5" s="601"/>
      <c r="D5" s="645"/>
      <c r="E5" s="601"/>
      <c r="F5" s="631"/>
      <c r="G5" s="647"/>
      <c r="H5" s="601"/>
      <c r="I5" s="588" t="s">
        <v>6</v>
      </c>
      <c r="J5" s="590" t="s">
        <v>12</v>
      </c>
      <c r="K5" s="590"/>
      <c r="L5" s="627"/>
      <c r="M5" s="588" t="s">
        <v>6</v>
      </c>
      <c r="N5" s="590" t="s">
        <v>12</v>
      </c>
      <c r="O5" s="590"/>
      <c r="P5" s="627"/>
      <c r="Q5" s="588" t="s">
        <v>6</v>
      </c>
      <c r="R5" s="590" t="s">
        <v>12</v>
      </c>
      <c r="S5" s="590"/>
      <c r="T5" s="591"/>
      <c r="U5" s="642" t="s">
        <v>6</v>
      </c>
      <c r="V5" s="590" t="s">
        <v>12</v>
      </c>
      <c r="W5" s="590"/>
      <c r="X5" s="627"/>
      <c r="Y5" s="530"/>
    </row>
    <row r="6" spans="1:25" ht="11.25" customHeight="1" x14ac:dyDescent="0.2">
      <c r="A6" s="628"/>
      <c r="B6" s="647"/>
      <c r="C6" s="628"/>
      <c r="D6" s="645"/>
      <c r="E6" s="602"/>
      <c r="F6" s="632"/>
      <c r="G6" s="647"/>
      <c r="H6" s="628"/>
      <c r="I6" s="588"/>
      <c r="J6" s="3" t="s">
        <v>5</v>
      </c>
      <c r="K6" s="3"/>
      <c r="L6" s="612" t="s">
        <v>7</v>
      </c>
      <c r="M6" s="588"/>
      <c r="N6" s="3" t="s">
        <v>5</v>
      </c>
      <c r="O6" s="3"/>
      <c r="P6" s="612" t="s">
        <v>7</v>
      </c>
      <c r="Q6" s="588"/>
      <c r="R6" s="3" t="s">
        <v>5</v>
      </c>
      <c r="S6" s="3"/>
      <c r="T6" s="592" t="s">
        <v>7</v>
      </c>
      <c r="U6" s="642"/>
      <c r="V6" s="590" t="s">
        <v>119</v>
      </c>
      <c r="W6" s="590"/>
      <c r="X6" s="612" t="s">
        <v>7</v>
      </c>
      <c r="Y6" s="530"/>
    </row>
    <row r="7" spans="1:25" ht="54" customHeight="1" thickBot="1" x14ac:dyDescent="0.25">
      <c r="A7" s="629"/>
      <c r="B7" s="647"/>
      <c r="C7" s="629"/>
      <c r="D7" s="645"/>
      <c r="E7" s="603"/>
      <c r="F7" s="633"/>
      <c r="G7" s="647"/>
      <c r="H7" s="629"/>
      <c r="I7" s="589"/>
      <c r="J7" s="4" t="s">
        <v>6</v>
      </c>
      <c r="K7" s="209" t="s">
        <v>8</v>
      </c>
      <c r="L7" s="613"/>
      <c r="M7" s="589"/>
      <c r="N7" s="4" t="s">
        <v>6</v>
      </c>
      <c r="O7" s="209" t="s">
        <v>8</v>
      </c>
      <c r="P7" s="613"/>
      <c r="Q7" s="589"/>
      <c r="R7" s="4" t="s">
        <v>6</v>
      </c>
      <c r="S7" s="209" t="s">
        <v>8</v>
      </c>
      <c r="T7" s="593"/>
      <c r="U7" s="643"/>
      <c r="V7" s="209" t="s">
        <v>6</v>
      </c>
      <c r="W7" s="209" t="s">
        <v>8</v>
      </c>
      <c r="X7" s="613"/>
      <c r="Y7" s="530"/>
    </row>
    <row r="8" spans="1:25" s="271" customFormat="1" ht="12" customHeight="1" thickBot="1" x14ac:dyDescent="0.25">
      <c r="A8" s="635" t="s">
        <v>53</v>
      </c>
      <c r="B8" s="636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636"/>
      <c r="R8" s="636"/>
      <c r="S8" s="636"/>
      <c r="T8" s="636"/>
      <c r="U8" s="636"/>
      <c r="V8" s="636"/>
      <c r="W8" s="636"/>
      <c r="X8" s="637"/>
      <c r="Y8" s="530"/>
    </row>
    <row r="9" spans="1:25" s="271" customFormat="1" ht="12" customHeight="1" thickBot="1" x14ac:dyDescent="0.25">
      <c r="A9" s="638" t="s">
        <v>23</v>
      </c>
      <c r="B9" s="639"/>
      <c r="C9" s="639"/>
      <c r="D9" s="639"/>
      <c r="E9" s="639"/>
      <c r="F9" s="639"/>
      <c r="G9" s="639"/>
      <c r="H9" s="639"/>
      <c r="I9" s="639"/>
      <c r="J9" s="639"/>
      <c r="K9" s="639"/>
      <c r="L9" s="639"/>
      <c r="M9" s="639"/>
      <c r="N9" s="639"/>
      <c r="O9" s="639"/>
      <c r="P9" s="639"/>
      <c r="Q9" s="639"/>
      <c r="R9" s="639"/>
      <c r="S9" s="639"/>
      <c r="T9" s="639"/>
      <c r="U9" s="639"/>
      <c r="V9" s="639"/>
      <c r="W9" s="639"/>
      <c r="X9" s="640"/>
      <c r="Y9" s="530"/>
    </row>
    <row r="10" spans="1:25" ht="13.5" customHeight="1" thickBot="1" x14ac:dyDescent="0.25">
      <c r="A10" s="162">
        <v>1</v>
      </c>
      <c r="B10" s="607" t="s">
        <v>142</v>
      </c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9"/>
      <c r="Y10" s="530"/>
    </row>
    <row r="11" spans="1:25" ht="13.5" customHeight="1" thickBot="1" x14ac:dyDescent="0.25">
      <c r="A11" s="163">
        <v>1</v>
      </c>
      <c r="B11" s="164">
        <v>1</v>
      </c>
      <c r="C11" s="564" t="s">
        <v>103</v>
      </c>
      <c r="D11" s="565"/>
      <c r="E11" s="565"/>
      <c r="F11" s="565"/>
      <c r="G11" s="565"/>
      <c r="H11" s="565"/>
      <c r="I11" s="565"/>
      <c r="J11" s="565"/>
      <c r="K11" s="565"/>
      <c r="L11" s="565"/>
      <c r="M11" s="565"/>
      <c r="N11" s="565"/>
      <c r="O11" s="565"/>
      <c r="P11" s="565"/>
      <c r="Q11" s="565"/>
      <c r="R11" s="565"/>
      <c r="S11" s="565"/>
      <c r="T11" s="565"/>
      <c r="U11" s="565"/>
      <c r="V11" s="565"/>
      <c r="W11" s="565"/>
      <c r="X11" s="566"/>
      <c r="Y11" s="530"/>
    </row>
    <row r="12" spans="1:25" ht="36" hidden="1" customHeight="1" thickBot="1" x14ac:dyDescent="0.25">
      <c r="A12" s="534">
        <v>1</v>
      </c>
      <c r="B12" s="535">
        <v>1</v>
      </c>
      <c r="C12" s="536">
        <v>1</v>
      </c>
      <c r="D12" s="537" t="s">
        <v>128</v>
      </c>
      <c r="E12" s="594" t="s">
        <v>113</v>
      </c>
      <c r="F12" s="241" t="s">
        <v>19</v>
      </c>
      <c r="G12" s="157" t="s">
        <v>61</v>
      </c>
      <c r="H12" s="242" t="s">
        <v>14</v>
      </c>
      <c r="I12" s="28"/>
      <c r="J12" s="243"/>
      <c r="K12" s="40">
        <v>0</v>
      </c>
      <c r="L12" s="272"/>
      <c r="M12" s="273"/>
      <c r="N12" s="274"/>
      <c r="O12" s="274"/>
      <c r="P12" s="272"/>
      <c r="Q12" s="273"/>
      <c r="R12" s="274"/>
      <c r="S12" s="274"/>
      <c r="T12" s="272"/>
      <c r="U12" s="273"/>
      <c r="V12" s="274"/>
      <c r="W12" s="274"/>
      <c r="X12" s="272"/>
      <c r="Y12" s="530"/>
    </row>
    <row r="13" spans="1:25" ht="14.25" hidden="1" customHeight="1" thickBot="1" x14ac:dyDescent="0.25">
      <c r="A13" s="534"/>
      <c r="B13" s="535"/>
      <c r="C13" s="536"/>
      <c r="D13" s="537"/>
      <c r="E13" s="595"/>
      <c r="F13" s="541" t="s">
        <v>11</v>
      </c>
      <c r="G13" s="542"/>
      <c r="H13" s="543"/>
      <c r="I13" s="103">
        <f>SUM(J13,L13)</f>
        <v>0</v>
      </c>
      <c r="J13" s="104">
        <f>SUM(J12)</f>
        <v>0</v>
      </c>
      <c r="K13" s="104">
        <f>SUM(K12)</f>
        <v>0</v>
      </c>
      <c r="L13" s="275">
        <f>SUM(L12)</f>
        <v>0</v>
      </c>
      <c r="M13" s="276">
        <f t="shared" ref="M13" si="0">SUM(N13,P13)</f>
        <v>0</v>
      </c>
      <c r="N13" s="277">
        <f>SUM(N12)</f>
        <v>0</v>
      </c>
      <c r="O13" s="277"/>
      <c r="P13" s="275"/>
      <c r="Q13" s="276">
        <f t="shared" ref="Q13" si="1">SUM(R13,T13)</f>
        <v>0</v>
      </c>
      <c r="R13" s="277">
        <f>SUM(R12)</f>
        <v>0</v>
      </c>
      <c r="S13" s="277"/>
      <c r="T13" s="275"/>
      <c r="U13" s="276">
        <f t="shared" ref="U13" si="2">SUM(V13,X13)</f>
        <v>0</v>
      </c>
      <c r="V13" s="277">
        <f>SUM(V12)</f>
        <v>0</v>
      </c>
      <c r="W13" s="277"/>
      <c r="X13" s="275"/>
      <c r="Y13" s="530"/>
    </row>
    <row r="14" spans="1:25" ht="24" customHeight="1" thickBot="1" x14ac:dyDescent="0.25">
      <c r="A14" s="614">
        <v>1</v>
      </c>
      <c r="B14" s="535">
        <v>1</v>
      </c>
      <c r="C14" s="536">
        <v>1</v>
      </c>
      <c r="D14" s="537" t="s">
        <v>107</v>
      </c>
      <c r="E14" s="539" t="s">
        <v>73</v>
      </c>
      <c r="F14" s="453" t="s">
        <v>109</v>
      </c>
      <c r="G14" s="450" t="s">
        <v>108</v>
      </c>
      <c r="H14" s="452" t="s">
        <v>14</v>
      </c>
      <c r="I14" s="64">
        <f>J14+L14</f>
        <v>0</v>
      </c>
      <c r="J14" s="121"/>
      <c r="K14" s="121"/>
      <c r="L14" s="455"/>
      <c r="M14" s="64">
        <v>20.6</v>
      </c>
      <c r="N14" s="121"/>
      <c r="O14" s="121"/>
      <c r="P14" s="245">
        <v>20.6</v>
      </c>
      <c r="Q14" s="64">
        <f>R14+T14</f>
        <v>0</v>
      </c>
      <c r="R14" s="121"/>
      <c r="S14" s="121"/>
      <c r="T14" s="245">
        <v>0</v>
      </c>
      <c r="U14" s="63">
        <f>V14+X14</f>
        <v>0</v>
      </c>
      <c r="V14" s="62"/>
      <c r="W14" s="62"/>
      <c r="X14" s="121">
        <v>0</v>
      </c>
      <c r="Y14" s="623"/>
    </row>
    <row r="15" spans="1:25" ht="24" customHeight="1" thickBot="1" x14ac:dyDescent="0.25">
      <c r="A15" s="614"/>
      <c r="B15" s="535"/>
      <c r="C15" s="536"/>
      <c r="D15" s="537"/>
      <c r="E15" s="611"/>
      <c r="F15" s="541" t="s">
        <v>11</v>
      </c>
      <c r="G15" s="542"/>
      <c r="H15" s="543"/>
      <c r="I15" s="103">
        <f>J15+L15</f>
        <v>0</v>
      </c>
      <c r="J15" s="5"/>
      <c r="K15" s="5"/>
      <c r="L15" s="108">
        <f>L14</f>
        <v>0</v>
      </c>
      <c r="M15" s="103">
        <f>N15+P15</f>
        <v>20.6</v>
      </c>
      <c r="N15" s="5"/>
      <c r="O15" s="5"/>
      <c r="P15" s="108">
        <f>P14</f>
        <v>20.6</v>
      </c>
      <c r="Q15" s="103">
        <f>R15+T15</f>
        <v>0</v>
      </c>
      <c r="R15" s="5"/>
      <c r="S15" s="5"/>
      <c r="T15" s="108">
        <f>T14</f>
        <v>0</v>
      </c>
      <c r="U15" s="7">
        <f>V15+X15</f>
        <v>0</v>
      </c>
      <c r="V15" s="104"/>
      <c r="W15" s="104"/>
      <c r="X15" s="108">
        <f>X14</f>
        <v>0</v>
      </c>
      <c r="Y15" s="624"/>
    </row>
    <row r="16" spans="1:25" ht="24" customHeight="1" x14ac:dyDescent="0.2">
      <c r="A16" s="614">
        <v>1</v>
      </c>
      <c r="B16" s="535">
        <v>1</v>
      </c>
      <c r="C16" s="536">
        <v>2</v>
      </c>
      <c r="D16" s="537" t="s">
        <v>148</v>
      </c>
      <c r="E16" s="539" t="s">
        <v>147</v>
      </c>
      <c r="F16" s="625" t="s">
        <v>19</v>
      </c>
      <c r="G16" s="654" t="s">
        <v>155</v>
      </c>
      <c r="H16" s="456" t="s">
        <v>145</v>
      </c>
      <c r="I16" s="105">
        <v>503.7</v>
      </c>
      <c r="J16" s="106"/>
      <c r="K16" s="106"/>
      <c r="L16" s="134">
        <v>503.7</v>
      </c>
      <c r="M16" s="105">
        <v>825</v>
      </c>
      <c r="N16" s="106"/>
      <c r="O16" s="106"/>
      <c r="P16" s="12">
        <v>825</v>
      </c>
      <c r="Q16" s="105">
        <f>R16+T16</f>
        <v>0</v>
      </c>
      <c r="R16" s="106"/>
      <c r="S16" s="106"/>
      <c r="T16" s="12">
        <v>0</v>
      </c>
      <c r="U16" s="105">
        <f>V16+X16</f>
        <v>0</v>
      </c>
      <c r="V16" s="106"/>
      <c r="W16" s="106"/>
      <c r="X16" s="12">
        <v>0</v>
      </c>
      <c r="Y16" s="624"/>
    </row>
    <row r="17" spans="1:25" ht="24" customHeight="1" thickBot="1" x14ac:dyDescent="0.25">
      <c r="A17" s="614"/>
      <c r="B17" s="535"/>
      <c r="C17" s="536"/>
      <c r="D17" s="537"/>
      <c r="E17" s="539"/>
      <c r="F17" s="626"/>
      <c r="G17" s="656"/>
      <c r="H17" s="196" t="s">
        <v>146</v>
      </c>
      <c r="I17" s="60">
        <v>829.6</v>
      </c>
      <c r="J17" s="114"/>
      <c r="K17" s="114"/>
      <c r="L17" s="138">
        <v>829.6</v>
      </c>
      <c r="M17" s="60">
        <v>339</v>
      </c>
      <c r="N17" s="114"/>
      <c r="O17" s="114"/>
      <c r="P17" s="61">
        <v>339</v>
      </c>
      <c r="Q17" s="60"/>
      <c r="R17" s="114"/>
      <c r="S17" s="114"/>
      <c r="T17" s="61"/>
      <c r="U17" s="60"/>
      <c r="V17" s="114"/>
      <c r="W17" s="114"/>
      <c r="X17" s="61"/>
      <c r="Y17" s="624"/>
    </row>
    <row r="18" spans="1:25" ht="24" customHeight="1" thickBot="1" x14ac:dyDescent="0.25">
      <c r="A18" s="614"/>
      <c r="B18" s="535"/>
      <c r="C18" s="536"/>
      <c r="D18" s="537"/>
      <c r="E18" s="611"/>
      <c r="F18" s="541" t="s">
        <v>11</v>
      </c>
      <c r="G18" s="542"/>
      <c r="H18" s="543"/>
      <c r="I18" s="103">
        <f>J18+L18</f>
        <v>1333.3</v>
      </c>
      <c r="J18" s="5"/>
      <c r="K18" s="5"/>
      <c r="L18" s="108">
        <f>L16+L17</f>
        <v>1333.3</v>
      </c>
      <c r="M18" s="103">
        <f>N18+P18</f>
        <v>1164</v>
      </c>
      <c r="N18" s="5"/>
      <c r="O18" s="5"/>
      <c r="P18" s="108">
        <f>P16+P17</f>
        <v>1164</v>
      </c>
      <c r="Q18" s="103">
        <f t="shared" ref="Q18:Q26" si="3">R18+T18</f>
        <v>0</v>
      </c>
      <c r="R18" s="5"/>
      <c r="S18" s="5"/>
      <c r="T18" s="108">
        <f>T16</f>
        <v>0</v>
      </c>
      <c r="U18" s="7">
        <f t="shared" ref="U18:U26" si="4">V18+X18</f>
        <v>0</v>
      </c>
      <c r="V18" s="104"/>
      <c r="W18" s="104"/>
      <c r="X18" s="108">
        <f>X16</f>
        <v>0</v>
      </c>
      <c r="Y18" s="624"/>
    </row>
    <row r="19" spans="1:25" ht="24" customHeight="1" thickBot="1" x14ac:dyDescent="0.25">
      <c r="A19" s="614">
        <v>1</v>
      </c>
      <c r="B19" s="535">
        <v>1</v>
      </c>
      <c r="C19" s="536">
        <v>3</v>
      </c>
      <c r="D19" s="537" t="s">
        <v>149</v>
      </c>
      <c r="E19" s="539" t="s">
        <v>147</v>
      </c>
      <c r="F19" s="453" t="s">
        <v>19</v>
      </c>
      <c r="G19" s="451" t="s">
        <v>156</v>
      </c>
      <c r="H19" s="454" t="s">
        <v>145</v>
      </c>
      <c r="I19" s="28">
        <v>625.5</v>
      </c>
      <c r="J19" s="29"/>
      <c r="K19" s="29"/>
      <c r="L19" s="457">
        <v>625.5</v>
      </c>
      <c r="M19" s="28">
        <v>596</v>
      </c>
      <c r="N19" s="29"/>
      <c r="O19" s="29"/>
      <c r="P19" s="30">
        <v>596</v>
      </c>
      <c r="Q19" s="28">
        <f t="shared" si="3"/>
        <v>0</v>
      </c>
      <c r="R19" s="29"/>
      <c r="S19" s="29"/>
      <c r="T19" s="30">
        <v>0</v>
      </c>
      <c r="U19" s="210">
        <f t="shared" si="4"/>
        <v>0</v>
      </c>
      <c r="V19" s="40"/>
      <c r="W19" s="40"/>
      <c r="X19" s="30">
        <v>0</v>
      </c>
      <c r="Y19" s="624"/>
    </row>
    <row r="20" spans="1:25" ht="24" customHeight="1" thickBot="1" x14ac:dyDescent="0.25">
      <c r="A20" s="614"/>
      <c r="B20" s="535"/>
      <c r="C20" s="524"/>
      <c r="D20" s="538"/>
      <c r="E20" s="540"/>
      <c r="F20" s="541" t="s">
        <v>11</v>
      </c>
      <c r="G20" s="542"/>
      <c r="H20" s="543"/>
      <c r="I20" s="103">
        <f>J20+L20</f>
        <v>625.5</v>
      </c>
      <c r="J20" s="5"/>
      <c r="K20" s="5"/>
      <c r="L20" s="108">
        <f>L19</f>
        <v>625.5</v>
      </c>
      <c r="M20" s="103">
        <f>N20+P20</f>
        <v>596</v>
      </c>
      <c r="N20" s="5"/>
      <c r="O20" s="5"/>
      <c r="P20" s="108">
        <f>P19</f>
        <v>596</v>
      </c>
      <c r="Q20" s="103">
        <f t="shared" si="3"/>
        <v>0</v>
      </c>
      <c r="R20" s="5"/>
      <c r="S20" s="5"/>
      <c r="T20" s="5">
        <f>T19</f>
        <v>0</v>
      </c>
      <c r="U20" s="7">
        <f t="shared" si="4"/>
        <v>0</v>
      </c>
      <c r="V20" s="104"/>
      <c r="W20" s="104"/>
      <c r="X20" s="108">
        <f>X19</f>
        <v>0</v>
      </c>
      <c r="Y20" s="624"/>
    </row>
    <row r="21" spans="1:25" ht="24" customHeight="1" thickBot="1" x14ac:dyDescent="0.25">
      <c r="A21" s="614">
        <v>1</v>
      </c>
      <c r="B21" s="535">
        <v>1</v>
      </c>
      <c r="C21" s="536">
        <v>4</v>
      </c>
      <c r="D21" s="537" t="s">
        <v>150</v>
      </c>
      <c r="E21" s="539" t="s">
        <v>147</v>
      </c>
      <c r="F21" s="453" t="s">
        <v>19</v>
      </c>
      <c r="G21" s="451" t="s">
        <v>157</v>
      </c>
      <c r="H21" s="454" t="s">
        <v>145</v>
      </c>
      <c r="I21" s="28">
        <v>334.6</v>
      </c>
      <c r="J21" s="29"/>
      <c r="K21" s="29"/>
      <c r="L21" s="457">
        <v>334.6</v>
      </c>
      <c r="M21" s="28">
        <v>260</v>
      </c>
      <c r="N21" s="29"/>
      <c r="O21" s="29"/>
      <c r="P21" s="30">
        <v>260</v>
      </c>
      <c r="Q21" s="28">
        <f t="shared" si="3"/>
        <v>0</v>
      </c>
      <c r="R21" s="29"/>
      <c r="S21" s="29"/>
      <c r="T21" s="30">
        <v>0</v>
      </c>
      <c r="U21" s="210">
        <f t="shared" si="4"/>
        <v>0</v>
      </c>
      <c r="V21" s="40"/>
      <c r="W21" s="40"/>
      <c r="X21" s="30">
        <v>0</v>
      </c>
      <c r="Y21" s="624"/>
    </row>
    <row r="22" spans="1:25" ht="24" customHeight="1" thickBot="1" x14ac:dyDescent="0.25">
      <c r="A22" s="614"/>
      <c r="B22" s="535"/>
      <c r="C22" s="524"/>
      <c r="D22" s="538"/>
      <c r="E22" s="540"/>
      <c r="F22" s="541" t="s">
        <v>11</v>
      </c>
      <c r="G22" s="542"/>
      <c r="H22" s="543"/>
      <c r="I22" s="103">
        <f>J22+L22</f>
        <v>334.6</v>
      </c>
      <c r="J22" s="5"/>
      <c r="K22" s="5"/>
      <c r="L22" s="108">
        <f>L21</f>
        <v>334.6</v>
      </c>
      <c r="M22" s="103">
        <f>N22+P22</f>
        <v>260</v>
      </c>
      <c r="N22" s="5"/>
      <c r="O22" s="5"/>
      <c r="P22" s="108">
        <f>P21</f>
        <v>260</v>
      </c>
      <c r="Q22" s="103">
        <f t="shared" si="3"/>
        <v>0</v>
      </c>
      <c r="R22" s="5"/>
      <c r="S22" s="5"/>
      <c r="T22" s="5">
        <f>T21</f>
        <v>0</v>
      </c>
      <c r="U22" s="7">
        <f t="shared" si="4"/>
        <v>0</v>
      </c>
      <c r="V22" s="104"/>
      <c r="W22" s="104"/>
      <c r="X22" s="108">
        <f>X21</f>
        <v>0</v>
      </c>
      <c r="Y22" s="624"/>
    </row>
    <row r="23" spans="1:25" ht="24" customHeight="1" thickBot="1" x14ac:dyDescent="0.25">
      <c r="A23" s="614">
        <v>1</v>
      </c>
      <c r="B23" s="535">
        <v>1</v>
      </c>
      <c r="C23" s="536">
        <v>5</v>
      </c>
      <c r="D23" s="537" t="s">
        <v>151</v>
      </c>
      <c r="E23" s="539" t="s">
        <v>147</v>
      </c>
      <c r="F23" s="453" t="s">
        <v>19</v>
      </c>
      <c r="G23" s="451" t="s">
        <v>158</v>
      </c>
      <c r="H23" s="454" t="s">
        <v>145</v>
      </c>
      <c r="I23" s="28">
        <v>821.3</v>
      </c>
      <c r="J23" s="29"/>
      <c r="K23" s="29"/>
      <c r="L23" s="457">
        <v>821.3</v>
      </c>
      <c r="M23" s="28">
        <v>529</v>
      </c>
      <c r="N23" s="29"/>
      <c r="O23" s="29"/>
      <c r="P23" s="30">
        <v>529</v>
      </c>
      <c r="Q23" s="28">
        <f t="shared" si="3"/>
        <v>0</v>
      </c>
      <c r="R23" s="29"/>
      <c r="S23" s="29"/>
      <c r="T23" s="30">
        <v>0</v>
      </c>
      <c r="U23" s="210">
        <f t="shared" si="4"/>
        <v>0</v>
      </c>
      <c r="V23" s="40"/>
      <c r="W23" s="40"/>
      <c r="X23" s="30">
        <v>0</v>
      </c>
      <c r="Y23" s="624"/>
    </row>
    <row r="24" spans="1:25" ht="24" customHeight="1" thickBot="1" x14ac:dyDescent="0.25">
      <c r="A24" s="614"/>
      <c r="B24" s="535"/>
      <c r="C24" s="524"/>
      <c r="D24" s="538"/>
      <c r="E24" s="540"/>
      <c r="F24" s="541" t="s">
        <v>11</v>
      </c>
      <c r="G24" s="542"/>
      <c r="H24" s="543"/>
      <c r="I24" s="103">
        <f>J24+L24</f>
        <v>821.3</v>
      </c>
      <c r="J24" s="5"/>
      <c r="K24" s="5"/>
      <c r="L24" s="108">
        <f>L23</f>
        <v>821.3</v>
      </c>
      <c r="M24" s="103">
        <f>N24+P24</f>
        <v>529</v>
      </c>
      <c r="N24" s="5"/>
      <c r="O24" s="5"/>
      <c r="P24" s="108">
        <f>P23</f>
        <v>529</v>
      </c>
      <c r="Q24" s="103">
        <f t="shared" si="3"/>
        <v>0</v>
      </c>
      <c r="R24" s="5"/>
      <c r="S24" s="5"/>
      <c r="T24" s="5">
        <f>T23</f>
        <v>0</v>
      </c>
      <c r="U24" s="7">
        <f t="shared" si="4"/>
        <v>0</v>
      </c>
      <c r="V24" s="104"/>
      <c r="W24" s="104"/>
      <c r="X24" s="108">
        <f>X23</f>
        <v>0</v>
      </c>
      <c r="Y24" s="624"/>
    </row>
    <row r="25" spans="1:25" ht="24" customHeight="1" thickBot="1" x14ac:dyDescent="0.25">
      <c r="A25" s="614">
        <v>1</v>
      </c>
      <c r="B25" s="535">
        <v>1</v>
      </c>
      <c r="C25" s="536">
        <v>6</v>
      </c>
      <c r="D25" s="537" t="s">
        <v>152</v>
      </c>
      <c r="E25" s="539" t="s">
        <v>147</v>
      </c>
      <c r="F25" s="453" t="s">
        <v>19</v>
      </c>
      <c r="G25" s="451" t="s">
        <v>159</v>
      </c>
      <c r="H25" s="454" t="s">
        <v>145</v>
      </c>
      <c r="I25" s="28">
        <v>4.2</v>
      </c>
      <c r="J25" s="29"/>
      <c r="K25" s="29"/>
      <c r="L25" s="457">
        <v>4.2</v>
      </c>
      <c r="M25" s="28">
        <v>47</v>
      </c>
      <c r="N25" s="29"/>
      <c r="O25" s="29"/>
      <c r="P25" s="30">
        <v>47</v>
      </c>
      <c r="Q25" s="28">
        <f t="shared" si="3"/>
        <v>0</v>
      </c>
      <c r="R25" s="29"/>
      <c r="S25" s="29"/>
      <c r="T25" s="30">
        <v>0</v>
      </c>
      <c r="U25" s="210">
        <f t="shared" si="4"/>
        <v>0</v>
      </c>
      <c r="V25" s="40"/>
      <c r="W25" s="40"/>
      <c r="X25" s="30">
        <v>0</v>
      </c>
      <c r="Y25" s="624"/>
    </row>
    <row r="26" spans="1:25" ht="24" customHeight="1" thickBot="1" x14ac:dyDescent="0.25">
      <c r="A26" s="614"/>
      <c r="B26" s="535"/>
      <c r="C26" s="524"/>
      <c r="D26" s="538"/>
      <c r="E26" s="540"/>
      <c r="F26" s="541" t="s">
        <v>11</v>
      </c>
      <c r="G26" s="542"/>
      <c r="H26" s="543"/>
      <c r="I26" s="103">
        <f>J26+L26</f>
        <v>4.2</v>
      </c>
      <c r="J26" s="5"/>
      <c r="K26" s="5"/>
      <c r="L26" s="108">
        <f>L25</f>
        <v>4.2</v>
      </c>
      <c r="M26" s="103">
        <f>N26+P26</f>
        <v>47</v>
      </c>
      <c r="N26" s="5"/>
      <c r="O26" s="5"/>
      <c r="P26" s="108">
        <f>P25</f>
        <v>47</v>
      </c>
      <c r="Q26" s="103">
        <f t="shared" si="3"/>
        <v>0</v>
      </c>
      <c r="R26" s="5"/>
      <c r="S26" s="5"/>
      <c r="T26" s="5">
        <f>T25</f>
        <v>0</v>
      </c>
      <c r="U26" s="7">
        <f t="shared" si="4"/>
        <v>0</v>
      </c>
      <c r="V26" s="104"/>
      <c r="W26" s="104"/>
      <c r="X26" s="108">
        <f>X25</f>
        <v>0</v>
      </c>
      <c r="Y26" s="624"/>
    </row>
    <row r="27" spans="1:25" ht="12" customHeight="1" thickBot="1" x14ac:dyDescent="0.25">
      <c r="A27" s="257">
        <v>1</v>
      </c>
      <c r="B27" s="261">
        <v>1</v>
      </c>
      <c r="C27" s="726" t="s">
        <v>9</v>
      </c>
      <c r="D27" s="727"/>
      <c r="E27" s="727"/>
      <c r="F27" s="727"/>
      <c r="G27" s="727"/>
      <c r="H27" s="728"/>
      <c r="I27" s="57">
        <f t="shared" ref="I27" si="5">L27+J27</f>
        <v>3118.8999999999996</v>
      </c>
      <c r="J27" s="31">
        <f>J15+J13</f>
        <v>0</v>
      </c>
      <c r="K27" s="31">
        <f>K15+K13</f>
        <v>0</v>
      </c>
      <c r="L27" s="31">
        <f>L15+L13+L18+L20+L22+L24+L26</f>
        <v>3118.8999999999996</v>
      </c>
      <c r="M27" s="57">
        <f t="shared" ref="M27" si="6">P27+N27</f>
        <v>2616.6</v>
      </c>
      <c r="N27" s="31">
        <f>N15+N13</f>
        <v>0</v>
      </c>
      <c r="O27" s="31">
        <f>O15+O13</f>
        <v>0</v>
      </c>
      <c r="P27" s="31">
        <f>P15+P13+P18+P20+P22+P24+P26</f>
        <v>2616.6</v>
      </c>
      <c r="Q27" s="57">
        <f t="shared" ref="Q27" si="7">T27+R27</f>
        <v>0</v>
      </c>
      <c r="R27" s="31">
        <f>R15+R13</f>
        <v>0</v>
      </c>
      <c r="S27" s="31">
        <f>S15+S13</f>
        <v>0</v>
      </c>
      <c r="T27" s="31">
        <f>T15+T13</f>
        <v>0</v>
      </c>
      <c r="U27" s="57">
        <f t="shared" ref="U27" si="8">X27+V27</f>
        <v>0</v>
      </c>
      <c r="V27" s="31">
        <f>V15+V13</f>
        <v>0</v>
      </c>
      <c r="W27" s="31">
        <f>W15+W13</f>
        <v>0</v>
      </c>
      <c r="X27" s="32">
        <f>X15+X13</f>
        <v>0</v>
      </c>
    </row>
    <row r="28" spans="1:25" ht="12" customHeight="1" thickBot="1" x14ac:dyDescent="0.25">
      <c r="A28" s="75">
        <v>1</v>
      </c>
      <c r="B28" s="76">
        <v>2</v>
      </c>
      <c r="C28" s="564" t="s">
        <v>34</v>
      </c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6"/>
    </row>
    <row r="29" spans="1:25" ht="22.5" hidden="1" customHeight="1" thickBot="1" x14ac:dyDescent="0.25">
      <c r="A29" s="570"/>
      <c r="B29" s="579"/>
      <c r="C29" s="615"/>
      <c r="D29" s="725"/>
      <c r="E29" s="619"/>
      <c r="F29" s="259"/>
      <c r="G29" s="259"/>
      <c r="H29" s="212"/>
      <c r="I29" s="173"/>
      <c r="J29" s="171"/>
      <c r="K29" s="171"/>
      <c r="L29" s="172"/>
      <c r="M29" s="173"/>
      <c r="N29" s="171"/>
      <c r="O29" s="171"/>
      <c r="P29" s="172"/>
      <c r="Q29" s="173"/>
      <c r="R29" s="9"/>
      <c r="S29" s="9"/>
      <c r="T29" s="204"/>
      <c r="U29" s="9"/>
      <c r="V29" s="9"/>
      <c r="W29" s="9"/>
      <c r="X29" s="9"/>
      <c r="Y29" s="530"/>
    </row>
    <row r="30" spans="1:25" ht="34.5" hidden="1" customHeight="1" thickBot="1" x14ac:dyDescent="0.25">
      <c r="A30" s="570"/>
      <c r="B30" s="579"/>
      <c r="C30" s="616"/>
      <c r="D30" s="578"/>
      <c r="E30" s="620"/>
      <c r="F30" s="735"/>
      <c r="G30" s="736"/>
      <c r="H30" s="737"/>
      <c r="I30" s="117"/>
      <c r="J30" s="118"/>
      <c r="K30" s="118"/>
      <c r="L30" s="24"/>
      <c r="M30" s="117"/>
      <c r="N30" s="118"/>
      <c r="O30" s="118"/>
      <c r="P30" s="24"/>
      <c r="Q30" s="117"/>
      <c r="R30" s="118"/>
      <c r="S30" s="118"/>
      <c r="T30" s="238"/>
      <c r="U30" s="213"/>
      <c r="V30" s="213"/>
      <c r="W30" s="213"/>
      <c r="X30" s="213"/>
      <c r="Y30" s="530"/>
    </row>
    <row r="31" spans="1:25" ht="30" customHeight="1" x14ac:dyDescent="0.2">
      <c r="A31" s="570">
        <v>1</v>
      </c>
      <c r="B31" s="579">
        <v>2</v>
      </c>
      <c r="C31" s="615">
        <v>1</v>
      </c>
      <c r="D31" s="617" t="s">
        <v>129</v>
      </c>
      <c r="E31" s="619" t="s">
        <v>113</v>
      </c>
      <c r="F31" s="574" t="s">
        <v>19</v>
      </c>
      <c r="G31" s="574" t="s">
        <v>41</v>
      </c>
      <c r="H31" s="512" t="s">
        <v>14</v>
      </c>
      <c r="I31" s="109">
        <v>29.9</v>
      </c>
      <c r="J31" s="106"/>
      <c r="K31" s="106"/>
      <c r="L31" s="292">
        <v>29.9</v>
      </c>
      <c r="M31" s="513">
        <f>N31+P31</f>
        <v>0.39999999999999858</v>
      </c>
      <c r="N31" s="514"/>
      <c r="O31" s="514"/>
      <c r="P31" s="515">
        <f>50-49.6</f>
        <v>0.39999999999999858</v>
      </c>
      <c r="Q31" s="513">
        <f>R31+T31</f>
        <v>252.6</v>
      </c>
      <c r="R31" s="514"/>
      <c r="S31" s="514"/>
      <c r="T31" s="516">
        <f>203+49.6</f>
        <v>252.6</v>
      </c>
      <c r="U31" s="517">
        <f t="shared" ref="U31" si="9">SUM(V31,X31)</f>
        <v>250</v>
      </c>
      <c r="V31" s="514"/>
      <c r="W31" s="514"/>
      <c r="X31" s="292">
        <v>250</v>
      </c>
      <c r="Y31" s="530"/>
    </row>
    <row r="32" spans="1:25" ht="30" customHeight="1" thickBot="1" x14ac:dyDescent="0.25">
      <c r="A32" s="570"/>
      <c r="B32" s="579"/>
      <c r="C32" s="615"/>
      <c r="D32" s="617"/>
      <c r="E32" s="619"/>
      <c r="F32" s="605"/>
      <c r="G32" s="605"/>
      <c r="H32" s="504" t="s">
        <v>135</v>
      </c>
      <c r="I32" s="505"/>
      <c r="J32" s="240"/>
      <c r="K32" s="240"/>
      <c r="L32" s="506"/>
      <c r="M32" s="507"/>
      <c r="N32" s="508"/>
      <c r="O32" s="508"/>
      <c r="P32" s="509"/>
      <c r="Q32" s="507">
        <f>R32+T32</f>
        <v>232.8</v>
      </c>
      <c r="R32" s="508"/>
      <c r="S32" s="508"/>
      <c r="T32" s="510">
        <v>232.8</v>
      </c>
      <c r="U32" s="511"/>
      <c r="V32" s="508"/>
      <c r="W32" s="508"/>
      <c r="X32" s="506"/>
      <c r="Y32" s="530"/>
    </row>
    <row r="33" spans="1:25" ht="25.5" customHeight="1" thickBot="1" x14ac:dyDescent="0.25">
      <c r="A33" s="570"/>
      <c r="B33" s="579"/>
      <c r="C33" s="616"/>
      <c r="D33" s="618"/>
      <c r="E33" s="620"/>
      <c r="F33" s="729" t="s">
        <v>11</v>
      </c>
      <c r="G33" s="730"/>
      <c r="H33" s="731"/>
      <c r="I33" s="91">
        <f>SUM(J33,L33)</f>
        <v>29.9</v>
      </c>
      <c r="J33" s="211">
        <f>SUM(J31,J32)</f>
        <v>0</v>
      </c>
      <c r="K33" s="211">
        <f t="shared" ref="K33:L33" si="10">SUM(K31,K32)</f>
        <v>0</v>
      </c>
      <c r="L33" s="94">
        <f t="shared" si="10"/>
        <v>29.9</v>
      </c>
      <c r="M33" s="91">
        <f>SUM(N33,P33)</f>
        <v>0.39999999999999858</v>
      </c>
      <c r="N33" s="211">
        <f>SUM(N31,N32)</f>
        <v>0</v>
      </c>
      <c r="O33" s="211">
        <f t="shared" ref="O33" si="11">SUM(O31,O32)</f>
        <v>0</v>
      </c>
      <c r="P33" s="94">
        <f t="shared" ref="P33" si="12">SUM(P31,P32)</f>
        <v>0.39999999999999858</v>
      </c>
      <c r="Q33" s="215">
        <f>SUM(R33,T33)</f>
        <v>485.4</v>
      </c>
      <c r="R33" s="211">
        <f>SUM(R31,R32)</f>
        <v>0</v>
      </c>
      <c r="S33" s="211">
        <f t="shared" ref="S33" si="13">SUM(S31,S32)</f>
        <v>0</v>
      </c>
      <c r="T33" s="94">
        <f t="shared" ref="T33" si="14">SUM(T31,T32)</f>
        <v>485.4</v>
      </c>
      <c r="U33" s="244">
        <f>SUM(V33,X33)</f>
        <v>250</v>
      </c>
      <c r="V33" s="211">
        <f>SUM(V31,V32)</f>
        <v>0</v>
      </c>
      <c r="W33" s="211">
        <f t="shared" ref="W33" si="15">SUM(W31,W32)</f>
        <v>0</v>
      </c>
      <c r="X33" s="94">
        <f t="shared" ref="X33" si="16">SUM(X31,X32)</f>
        <v>250</v>
      </c>
      <c r="Y33" s="530"/>
    </row>
    <row r="34" spans="1:25" ht="27.6" customHeight="1" x14ac:dyDescent="0.2">
      <c r="A34" s="610">
        <v>1</v>
      </c>
      <c r="B34" s="535">
        <v>2</v>
      </c>
      <c r="C34" s="536">
        <v>2</v>
      </c>
      <c r="D34" s="618" t="s">
        <v>144</v>
      </c>
      <c r="E34" s="611" t="s">
        <v>113</v>
      </c>
      <c r="F34" s="625" t="s">
        <v>19</v>
      </c>
      <c r="G34" s="625" t="s">
        <v>42</v>
      </c>
      <c r="H34" s="373" t="s">
        <v>14</v>
      </c>
      <c r="I34" s="432">
        <v>23.8</v>
      </c>
      <c r="J34" s="179"/>
      <c r="K34" s="179"/>
      <c r="L34" s="159">
        <v>23.8</v>
      </c>
      <c r="M34" s="441">
        <f>SUM(N34,P34)</f>
        <v>58.300000000000004</v>
      </c>
      <c r="N34" s="442"/>
      <c r="O34" s="442"/>
      <c r="P34" s="443">
        <f>87.2-28.9</f>
        <v>58.300000000000004</v>
      </c>
      <c r="Q34" s="428">
        <f>SUM(R34,T34)</f>
        <v>300</v>
      </c>
      <c r="R34" s="429"/>
      <c r="S34" s="429"/>
      <c r="T34" s="430">
        <v>300</v>
      </c>
      <c r="U34" s="428">
        <f>SUM(V34,X34)</f>
        <v>100</v>
      </c>
      <c r="V34" s="429"/>
      <c r="W34" s="429"/>
      <c r="X34" s="430">
        <v>100</v>
      </c>
      <c r="Y34" s="624"/>
    </row>
    <row r="35" spans="1:25" ht="27.6" customHeight="1" x14ac:dyDescent="0.2">
      <c r="A35" s="610"/>
      <c r="B35" s="535"/>
      <c r="C35" s="536"/>
      <c r="D35" s="618"/>
      <c r="E35" s="611"/>
      <c r="F35" s="598"/>
      <c r="G35" s="598"/>
      <c r="H35" s="377" t="s">
        <v>135</v>
      </c>
      <c r="I35" s="423">
        <v>385.8</v>
      </c>
      <c r="J35" s="389"/>
      <c r="K35" s="389"/>
      <c r="L35" s="433">
        <v>385.8</v>
      </c>
      <c r="M35" s="444">
        <f t="shared" ref="M35:M36" si="17">SUM(N35,P35)</f>
        <v>0</v>
      </c>
      <c r="N35" s="445"/>
      <c r="O35" s="445"/>
      <c r="P35" s="446">
        <f>232.8-232.8</f>
        <v>0</v>
      </c>
      <c r="Q35" s="431"/>
      <c r="R35" s="424"/>
      <c r="S35" s="424"/>
      <c r="T35" s="425"/>
      <c r="U35" s="431"/>
      <c r="V35" s="424"/>
      <c r="W35" s="424"/>
      <c r="X35" s="425"/>
      <c r="Y35" s="624"/>
    </row>
    <row r="36" spans="1:25" ht="27.6" customHeight="1" thickBot="1" x14ac:dyDescent="0.25">
      <c r="A36" s="610"/>
      <c r="B36" s="535"/>
      <c r="C36" s="536"/>
      <c r="D36" s="618"/>
      <c r="E36" s="611"/>
      <c r="F36" s="598"/>
      <c r="G36" s="598"/>
      <c r="H36" s="426" t="s">
        <v>138</v>
      </c>
      <c r="I36" s="160"/>
      <c r="J36" s="161"/>
      <c r="K36" s="161"/>
      <c r="L36" s="387"/>
      <c r="M36" s="447">
        <f t="shared" si="17"/>
        <v>111</v>
      </c>
      <c r="N36" s="448"/>
      <c r="O36" s="448"/>
      <c r="P36" s="449">
        <v>111</v>
      </c>
      <c r="Q36" s="374"/>
      <c r="R36" s="375"/>
      <c r="S36" s="375"/>
      <c r="T36" s="376"/>
      <c r="U36" s="374"/>
      <c r="V36" s="375"/>
      <c r="W36" s="375"/>
      <c r="X36" s="376"/>
      <c r="Y36" s="624"/>
    </row>
    <row r="37" spans="1:25" ht="28.5" hidden="1" customHeight="1" thickBot="1" x14ac:dyDescent="0.25">
      <c r="A37" s="610"/>
      <c r="B37" s="535"/>
      <c r="C37" s="536"/>
      <c r="D37" s="618"/>
      <c r="E37" s="611"/>
      <c r="F37" s="626"/>
      <c r="G37" s="626"/>
      <c r="H37" s="427" t="s">
        <v>111</v>
      </c>
      <c r="I37" s="239"/>
      <c r="J37" s="240"/>
      <c r="K37" s="240"/>
      <c r="L37" s="142"/>
      <c r="M37" s="239"/>
      <c r="N37" s="240"/>
      <c r="O37" s="240"/>
      <c r="P37" s="142"/>
      <c r="Q37" s="239"/>
      <c r="R37" s="240"/>
      <c r="S37" s="240"/>
      <c r="T37" s="142"/>
      <c r="U37" s="35"/>
      <c r="V37" s="62"/>
      <c r="W37" s="62"/>
      <c r="X37" s="245"/>
      <c r="Y37" s="624"/>
    </row>
    <row r="38" spans="1:25" ht="29.1" customHeight="1" thickBot="1" x14ac:dyDescent="0.25">
      <c r="A38" s="610"/>
      <c r="B38" s="535"/>
      <c r="C38" s="536"/>
      <c r="D38" s="618"/>
      <c r="E38" s="611"/>
      <c r="F38" s="541" t="s">
        <v>11</v>
      </c>
      <c r="G38" s="542"/>
      <c r="H38" s="543"/>
      <c r="I38" s="103">
        <f>SUM(J38,L38)</f>
        <v>409.6</v>
      </c>
      <c r="J38" s="19">
        <f>SUM(J34,J37,J35)</f>
        <v>0</v>
      </c>
      <c r="K38" s="19">
        <f t="shared" ref="K38:L38" si="18">SUM(K34,K37,K35)</f>
        <v>0</v>
      </c>
      <c r="L38" s="20">
        <f t="shared" si="18"/>
        <v>409.6</v>
      </c>
      <c r="M38" s="103">
        <f>SUM(N38,P38)</f>
        <v>169.3</v>
      </c>
      <c r="N38" s="19"/>
      <c r="O38" s="19"/>
      <c r="P38" s="20">
        <f>P34+P35+P37+P36</f>
        <v>169.3</v>
      </c>
      <c r="Q38" s="103">
        <f>SUM(R38,T38)</f>
        <v>300</v>
      </c>
      <c r="R38" s="19"/>
      <c r="S38" s="19"/>
      <c r="T38" s="33">
        <f t="shared" ref="T38" si="19">SUM(T34,T37)</f>
        <v>300</v>
      </c>
      <c r="U38" s="216">
        <f>SUM(V38,X38)</f>
        <v>100</v>
      </c>
      <c r="V38" s="19"/>
      <c r="W38" s="19"/>
      <c r="X38" s="20">
        <f t="shared" ref="X38" si="20">SUM(X34,X37)</f>
        <v>100</v>
      </c>
      <c r="Y38" s="624"/>
    </row>
    <row r="39" spans="1:25" ht="22.5" customHeight="1" thickBot="1" x14ac:dyDescent="0.25">
      <c r="A39" s="610">
        <v>1</v>
      </c>
      <c r="B39" s="535">
        <v>2</v>
      </c>
      <c r="C39" s="536">
        <v>3</v>
      </c>
      <c r="D39" s="618" t="s">
        <v>130</v>
      </c>
      <c r="E39" s="611" t="s">
        <v>113</v>
      </c>
      <c r="F39" s="264" t="s">
        <v>19</v>
      </c>
      <c r="G39" s="264" t="s">
        <v>105</v>
      </c>
      <c r="H39" s="255" t="s">
        <v>14</v>
      </c>
      <c r="I39" s="21">
        <f>SUM(J39,L39)</f>
        <v>0</v>
      </c>
      <c r="J39" s="22"/>
      <c r="K39" s="16">
        <v>0</v>
      </c>
      <c r="L39" s="17">
        <v>0</v>
      </c>
      <c r="M39" s="140">
        <f>SUM(N39,P39)</f>
        <v>0</v>
      </c>
      <c r="N39" s="22"/>
      <c r="O39" s="16"/>
      <c r="P39" s="17"/>
      <c r="Q39" s="140">
        <f>SUM(R39,T39)</f>
        <v>49</v>
      </c>
      <c r="R39" s="22"/>
      <c r="S39" s="16"/>
      <c r="T39" s="205">
        <v>49</v>
      </c>
      <c r="U39" s="235"/>
      <c r="V39" s="236"/>
      <c r="W39" s="236"/>
      <c r="X39" s="289"/>
      <c r="Y39" s="623"/>
    </row>
    <row r="40" spans="1:25" ht="26.7" customHeight="1" thickBot="1" x14ac:dyDescent="0.25">
      <c r="A40" s="610"/>
      <c r="B40" s="535"/>
      <c r="C40" s="536"/>
      <c r="D40" s="618"/>
      <c r="E40" s="611"/>
      <c r="F40" s="541" t="s">
        <v>11</v>
      </c>
      <c r="G40" s="542"/>
      <c r="H40" s="543"/>
      <c r="I40" s="18">
        <f>SUM(J40,L40)</f>
        <v>0</v>
      </c>
      <c r="J40" s="19">
        <f>SUM(J39)</f>
        <v>0</v>
      </c>
      <c r="K40" s="19">
        <f>SUM(K39)</f>
        <v>0</v>
      </c>
      <c r="L40" s="20">
        <f>SUM(L39)</f>
        <v>0</v>
      </c>
      <c r="M40" s="117">
        <f>SUM(N40,P40)</f>
        <v>0</v>
      </c>
      <c r="N40" s="119"/>
      <c r="O40" s="119"/>
      <c r="P40" s="123"/>
      <c r="Q40" s="117">
        <f>SUM(R40,T40)</f>
        <v>49</v>
      </c>
      <c r="R40" s="119"/>
      <c r="S40" s="119"/>
      <c r="T40" s="123">
        <f>SUM(T39)</f>
        <v>49</v>
      </c>
      <c r="U40" s="291"/>
      <c r="V40" s="247"/>
      <c r="W40" s="247"/>
      <c r="X40" s="290"/>
      <c r="Y40" s="623"/>
    </row>
    <row r="41" spans="1:25" ht="23.1" customHeight="1" thickBot="1" x14ac:dyDescent="0.25">
      <c r="A41" s="610">
        <v>1</v>
      </c>
      <c r="B41" s="535">
        <v>2</v>
      </c>
      <c r="C41" s="536">
        <v>4</v>
      </c>
      <c r="D41" s="618" t="s">
        <v>131</v>
      </c>
      <c r="E41" s="611" t="s">
        <v>113</v>
      </c>
      <c r="F41" s="262" t="s">
        <v>19</v>
      </c>
      <c r="G41" s="262" t="s">
        <v>36</v>
      </c>
      <c r="H41" s="73" t="s">
        <v>14</v>
      </c>
      <c r="I41" s="227">
        <v>40.700000000000003</v>
      </c>
      <c r="J41" s="228">
        <v>40.700000000000003</v>
      </c>
      <c r="K41" s="329">
        <v>0</v>
      </c>
      <c r="L41" s="330">
        <v>0</v>
      </c>
      <c r="M41" s="288">
        <v>57.1</v>
      </c>
      <c r="N41" s="378">
        <v>57.1</v>
      </c>
      <c r="O41" s="378"/>
      <c r="P41" s="379"/>
      <c r="Q41" s="288">
        <v>42.9</v>
      </c>
      <c r="R41" s="286">
        <v>42.9</v>
      </c>
      <c r="S41" s="286"/>
      <c r="T41" s="284"/>
      <c r="U41" s="285">
        <f>V41+X41</f>
        <v>0</v>
      </c>
      <c r="V41" s="286"/>
      <c r="W41" s="286"/>
      <c r="X41" s="292"/>
      <c r="Y41" s="530"/>
    </row>
    <row r="42" spans="1:25" ht="21" customHeight="1" thickBot="1" x14ac:dyDescent="0.25">
      <c r="A42" s="610"/>
      <c r="B42" s="535"/>
      <c r="C42" s="536"/>
      <c r="D42" s="618"/>
      <c r="E42" s="611"/>
      <c r="F42" s="541" t="s">
        <v>11</v>
      </c>
      <c r="G42" s="542"/>
      <c r="H42" s="543"/>
      <c r="I42" s="343">
        <f t="shared" ref="I42" si="21">SUM(J42,L42)</f>
        <v>40.700000000000003</v>
      </c>
      <c r="J42" s="124">
        <f>SUM(J41)</f>
        <v>40.700000000000003</v>
      </c>
      <c r="K42" s="124">
        <f>SUM(K41)</f>
        <v>0</v>
      </c>
      <c r="L42" s="120">
        <f>SUM(L41)</f>
        <v>0</v>
      </c>
      <c r="M42" s="343">
        <f>M41</f>
        <v>57.1</v>
      </c>
      <c r="N42" s="124">
        <f>SUM(N41)</f>
        <v>57.1</v>
      </c>
      <c r="O42" s="124"/>
      <c r="P42" s="120">
        <f>P41</f>
        <v>0</v>
      </c>
      <c r="Q42" s="67">
        <f>R42+T42</f>
        <v>42.9</v>
      </c>
      <c r="R42" s="93">
        <f>SUM(R41)</f>
        <v>42.9</v>
      </c>
      <c r="S42" s="201"/>
      <c r="T42" s="202">
        <f>T41</f>
        <v>0</v>
      </c>
      <c r="U42" s="328">
        <f>V42+X42</f>
        <v>0</v>
      </c>
      <c r="V42" s="201">
        <f>SUM(V41)</f>
        <v>0</v>
      </c>
      <c r="W42" s="201"/>
      <c r="X42" s="214">
        <f>X41</f>
        <v>0</v>
      </c>
      <c r="Y42" s="530"/>
    </row>
    <row r="43" spans="1:25" ht="23.7" customHeight="1" thickBot="1" x14ac:dyDescent="0.25">
      <c r="A43" s="528">
        <v>1</v>
      </c>
      <c r="B43" s="670">
        <v>2</v>
      </c>
      <c r="C43" s="524">
        <v>5</v>
      </c>
      <c r="D43" s="526" t="s">
        <v>132</v>
      </c>
      <c r="E43" s="604" t="s">
        <v>113</v>
      </c>
      <c r="F43" s="263" t="s">
        <v>19</v>
      </c>
      <c r="G43" s="263" t="s">
        <v>76</v>
      </c>
      <c r="H43" s="77" t="s">
        <v>14</v>
      </c>
      <c r="I43" s="144">
        <f>J43+L43</f>
        <v>7.1</v>
      </c>
      <c r="J43" s="36"/>
      <c r="K43" s="36"/>
      <c r="L43" s="23">
        <v>7.1</v>
      </c>
      <c r="M43" s="141"/>
      <c r="N43" s="29"/>
      <c r="O43" s="29"/>
      <c r="P43" s="30"/>
      <c r="Q43" s="141"/>
      <c r="R43" s="29"/>
      <c r="S43" s="29"/>
      <c r="T43" s="29"/>
      <c r="U43" s="210"/>
      <c r="V43" s="40"/>
      <c r="W43" s="40"/>
      <c r="X43" s="29"/>
      <c r="Y43" s="623"/>
    </row>
    <row r="44" spans="1:25" ht="20.100000000000001" customHeight="1" thickBot="1" x14ac:dyDescent="0.25">
      <c r="A44" s="529"/>
      <c r="B44" s="671"/>
      <c r="C44" s="525"/>
      <c r="D44" s="527"/>
      <c r="E44" s="597"/>
      <c r="F44" s="541" t="s">
        <v>11</v>
      </c>
      <c r="G44" s="542"/>
      <c r="H44" s="543"/>
      <c r="I44" s="215">
        <f>I43</f>
        <v>7.1</v>
      </c>
      <c r="J44" s="118"/>
      <c r="K44" s="118"/>
      <c r="L44" s="24">
        <f>L43</f>
        <v>7.1</v>
      </c>
      <c r="M44" s="391"/>
      <c r="N44" s="238"/>
      <c r="O44" s="238"/>
      <c r="P44" s="24"/>
      <c r="Q44" s="117"/>
      <c r="R44" s="238"/>
      <c r="S44" s="238"/>
      <c r="T44" s="24"/>
      <c r="U44" s="392"/>
      <c r="V44" s="118"/>
      <c r="W44" s="118"/>
      <c r="X44" s="24"/>
      <c r="Y44" s="623"/>
    </row>
    <row r="45" spans="1:25" ht="23.7" customHeight="1" x14ac:dyDescent="0.2">
      <c r="A45" s="528">
        <v>1</v>
      </c>
      <c r="B45" s="670">
        <v>2</v>
      </c>
      <c r="C45" s="524">
        <v>6</v>
      </c>
      <c r="D45" s="526" t="s">
        <v>143</v>
      </c>
      <c r="E45" s="596" t="s">
        <v>113</v>
      </c>
      <c r="F45" s="598" t="s">
        <v>19</v>
      </c>
      <c r="G45" s="599" t="s">
        <v>101</v>
      </c>
      <c r="H45" s="414" t="s">
        <v>14</v>
      </c>
      <c r="I45" s="398">
        <f>SUM(J45,L45)</f>
        <v>6.1000000000000014</v>
      </c>
      <c r="J45" s="380"/>
      <c r="K45" s="380"/>
      <c r="L45" s="399">
        <f>47.1-41</f>
        <v>6.1000000000000014</v>
      </c>
      <c r="M45" s="398">
        <f>SUM(N45,P45)</f>
        <v>80</v>
      </c>
      <c r="N45" s="380"/>
      <c r="O45" s="380"/>
      <c r="P45" s="399">
        <v>80</v>
      </c>
      <c r="Q45" s="403">
        <f>SUM(R45,T45)</f>
        <v>80</v>
      </c>
      <c r="R45" s="404"/>
      <c r="S45" s="404"/>
      <c r="T45" s="405">
        <v>80</v>
      </c>
      <c r="U45" s="403"/>
      <c r="V45" s="404"/>
      <c r="W45" s="410"/>
      <c r="X45" s="292"/>
      <c r="Y45" s="624"/>
    </row>
    <row r="46" spans="1:25" ht="23.7" customHeight="1" x14ac:dyDescent="0.2">
      <c r="A46" s="551"/>
      <c r="B46" s="695"/>
      <c r="C46" s="525"/>
      <c r="D46" s="606"/>
      <c r="E46" s="596"/>
      <c r="F46" s="598"/>
      <c r="G46" s="599"/>
      <c r="H46" s="397" t="s">
        <v>138</v>
      </c>
      <c r="I46" s="400"/>
      <c r="J46" s="394"/>
      <c r="K46" s="394"/>
      <c r="L46" s="401"/>
      <c r="M46" s="435">
        <v>45.7</v>
      </c>
      <c r="N46" s="436"/>
      <c r="O46" s="436"/>
      <c r="P46" s="437">
        <v>45.7</v>
      </c>
      <c r="Q46" s="406"/>
      <c r="R46" s="395"/>
      <c r="S46" s="395"/>
      <c r="T46" s="407"/>
      <c r="U46" s="406"/>
      <c r="V46" s="395"/>
      <c r="W46" s="396"/>
      <c r="X46" s="411"/>
      <c r="Y46" s="624"/>
    </row>
    <row r="47" spans="1:25" ht="23.7" customHeight="1" thickBot="1" x14ac:dyDescent="0.25">
      <c r="A47" s="551"/>
      <c r="B47" s="695"/>
      <c r="C47" s="525"/>
      <c r="D47" s="606"/>
      <c r="E47" s="596"/>
      <c r="F47" s="598"/>
      <c r="G47" s="599"/>
      <c r="H47" s="415" t="s">
        <v>135</v>
      </c>
      <c r="I47" s="381">
        <f>SUM(J47,L47)</f>
        <v>0</v>
      </c>
      <c r="J47" s="402"/>
      <c r="K47" s="402"/>
      <c r="L47" s="382"/>
      <c r="M47" s="438">
        <v>394.3</v>
      </c>
      <c r="N47" s="439"/>
      <c r="O47" s="439"/>
      <c r="P47" s="440">
        <v>394.3</v>
      </c>
      <c r="Q47" s="383">
        <f>SUM(R47,T47)</f>
        <v>0</v>
      </c>
      <c r="R47" s="408"/>
      <c r="S47" s="408"/>
      <c r="T47" s="409"/>
      <c r="U47" s="383"/>
      <c r="V47" s="408"/>
      <c r="W47" s="412"/>
      <c r="X47" s="413"/>
      <c r="Y47" s="624"/>
    </row>
    <row r="48" spans="1:25" ht="27.6" customHeight="1" thickBot="1" x14ac:dyDescent="0.25">
      <c r="A48" s="529"/>
      <c r="B48" s="671"/>
      <c r="C48" s="525"/>
      <c r="D48" s="527"/>
      <c r="E48" s="597"/>
      <c r="F48" s="541" t="s">
        <v>11</v>
      </c>
      <c r="G48" s="542"/>
      <c r="H48" s="543"/>
      <c r="I48" s="393">
        <f>SUM(J48,L48)</f>
        <v>6.1000000000000014</v>
      </c>
      <c r="J48" s="125"/>
      <c r="K48" s="125"/>
      <c r="L48" s="68">
        <f>L45</f>
        <v>6.1000000000000014</v>
      </c>
      <c r="M48" s="246">
        <f>SUM(N48,P48)</f>
        <v>520</v>
      </c>
      <c r="N48" s="92"/>
      <c r="O48" s="92">
        <f>O45+O47</f>
        <v>0</v>
      </c>
      <c r="P48" s="94">
        <f>P45+P47+P46</f>
        <v>520</v>
      </c>
      <c r="Q48" s="246">
        <f>SUM(R48,T48)</f>
        <v>80</v>
      </c>
      <c r="R48" s="92"/>
      <c r="S48" s="92"/>
      <c r="T48" s="68">
        <f>T45</f>
        <v>80</v>
      </c>
      <c r="U48" s="267"/>
      <c r="V48" s="211"/>
      <c r="W48" s="211"/>
      <c r="X48" s="92"/>
      <c r="Y48" s="623"/>
    </row>
    <row r="49" spans="1:25" ht="28.5" customHeight="1" thickBot="1" x14ac:dyDescent="0.25">
      <c r="A49" s="528">
        <v>1</v>
      </c>
      <c r="B49" s="670">
        <v>2</v>
      </c>
      <c r="C49" s="552">
        <v>7</v>
      </c>
      <c r="D49" s="526" t="s">
        <v>137</v>
      </c>
      <c r="E49" s="596" t="s">
        <v>113</v>
      </c>
      <c r="F49" s="264" t="s">
        <v>19</v>
      </c>
      <c r="G49" s="263" t="s">
        <v>117</v>
      </c>
      <c r="H49" s="77" t="s">
        <v>14</v>
      </c>
      <c r="I49" s="112">
        <v>4.5999999999999996</v>
      </c>
      <c r="J49" s="29"/>
      <c r="K49" s="29"/>
      <c r="L49" s="29">
        <v>4.5999999999999996</v>
      </c>
      <c r="M49" s="288">
        <f>N49+P49</f>
        <v>82</v>
      </c>
      <c r="N49" s="286"/>
      <c r="O49" s="286"/>
      <c r="P49" s="287">
        <v>82</v>
      </c>
      <c r="Q49" s="288">
        <f t="shared" ref="Q49:Q50" si="22">SUM(R49,T49)</f>
        <v>13</v>
      </c>
      <c r="R49" s="286"/>
      <c r="S49" s="286"/>
      <c r="T49" s="284">
        <v>13</v>
      </c>
      <c r="U49" s="325"/>
      <c r="V49" s="326"/>
      <c r="W49" s="326"/>
      <c r="X49" s="327"/>
      <c r="Y49" s="530"/>
    </row>
    <row r="50" spans="1:25" ht="27.75" customHeight="1" thickBot="1" x14ac:dyDescent="0.25">
      <c r="A50" s="529"/>
      <c r="B50" s="671"/>
      <c r="C50" s="553"/>
      <c r="D50" s="527"/>
      <c r="E50" s="597"/>
      <c r="F50" s="541" t="s">
        <v>11</v>
      </c>
      <c r="G50" s="542"/>
      <c r="H50" s="543"/>
      <c r="I50" s="103">
        <f t="shared" ref="I50" si="23">SUM(J50,L50)</f>
        <v>4.5999999999999996</v>
      </c>
      <c r="J50" s="5"/>
      <c r="K50" s="5"/>
      <c r="L50" s="108">
        <f>SUM(L49)</f>
        <v>4.5999999999999996</v>
      </c>
      <c r="M50" s="67">
        <f>N50+P50</f>
        <v>82</v>
      </c>
      <c r="N50" s="125"/>
      <c r="O50" s="125"/>
      <c r="P50" s="68">
        <f>P49</f>
        <v>82</v>
      </c>
      <c r="Q50" s="67">
        <f t="shared" si="22"/>
        <v>13</v>
      </c>
      <c r="R50" s="125"/>
      <c r="S50" s="125"/>
      <c r="T50" s="68">
        <f>SUM(T49)</f>
        <v>13</v>
      </c>
      <c r="U50" s="293"/>
      <c r="V50" s="93"/>
      <c r="W50" s="93"/>
      <c r="X50" s="68"/>
      <c r="Y50" s="530"/>
    </row>
    <row r="51" spans="1:25" ht="25.5" customHeight="1" thickBot="1" x14ac:dyDescent="0.25">
      <c r="A51" s="528">
        <v>1</v>
      </c>
      <c r="B51" s="670">
        <v>2</v>
      </c>
      <c r="C51" s="524">
        <v>8</v>
      </c>
      <c r="D51" s="688" t="s">
        <v>133</v>
      </c>
      <c r="E51" s="540" t="s">
        <v>113</v>
      </c>
      <c r="F51" s="264" t="s">
        <v>19</v>
      </c>
      <c r="G51" s="258" t="s">
        <v>89</v>
      </c>
      <c r="H51" s="116" t="s">
        <v>14</v>
      </c>
      <c r="I51" s="105">
        <v>446.3</v>
      </c>
      <c r="J51" s="6"/>
      <c r="K51" s="6"/>
      <c r="L51" s="12">
        <v>446.3</v>
      </c>
      <c r="M51" s="109"/>
      <c r="N51" s="6"/>
      <c r="O51" s="6"/>
      <c r="P51" s="12"/>
      <c r="Q51" s="109"/>
      <c r="R51" s="6"/>
      <c r="S51" s="6"/>
      <c r="T51" s="12"/>
      <c r="U51" s="294"/>
      <c r="V51" s="9"/>
      <c r="W51" s="9"/>
      <c r="X51" s="12"/>
      <c r="Y51" s="623"/>
    </row>
    <row r="52" spans="1:25" ht="24" customHeight="1" thickBot="1" x14ac:dyDescent="0.25">
      <c r="A52" s="529"/>
      <c r="B52" s="671"/>
      <c r="C52" s="562"/>
      <c r="D52" s="725"/>
      <c r="E52" s="703"/>
      <c r="F52" s="541" t="s">
        <v>11</v>
      </c>
      <c r="G52" s="542"/>
      <c r="H52" s="543"/>
      <c r="I52" s="103">
        <f t="shared" ref="I52" si="24">J52+L52</f>
        <v>446.3</v>
      </c>
      <c r="J52" s="5">
        <f>J51</f>
        <v>0</v>
      </c>
      <c r="K52" s="5">
        <f>K51</f>
        <v>0</v>
      </c>
      <c r="L52" s="108">
        <f>L51</f>
        <v>446.3</v>
      </c>
      <c r="M52" s="103">
        <f t="shared" ref="M52" si="25">N52+P52</f>
        <v>0</v>
      </c>
      <c r="N52" s="5"/>
      <c r="O52" s="5"/>
      <c r="P52" s="108">
        <f>P51</f>
        <v>0</v>
      </c>
      <c r="Q52" s="103">
        <f t="shared" ref="Q52" si="26">R52+T52</f>
        <v>0</v>
      </c>
      <c r="R52" s="5"/>
      <c r="S52" s="5"/>
      <c r="T52" s="108">
        <f>T51</f>
        <v>0</v>
      </c>
      <c r="U52" s="296">
        <f t="shared" ref="U52" si="27">V52+X52</f>
        <v>0</v>
      </c>
      <c r="V52" s="104"/>
      <c r="W52" s="104"/>
      <c r="X52" s="108">
        <f>X51</f>
        <v>0</v>
      </c>
      <c r="Y52" s="623"/>
    </row>
    <row r="53" spans="1:25" ht="30" customHeight="1" thickBot="1" x14ac:dyDescent="0.25">
      <c r="A53" s="546">
        <v>1</v>
      </c>
      <c r="B53" s="547">
        <v>2</v>
      </c>
      <c r="C53" s="548">
        <v>9</v>
      </c>
      <c r="D53" s="549" t="s">
        <v>118</v>
      </c>
      <c r="E53" s="548" t="s">
        <v>73</v>
      </c>
      <c r="F53" s="323" t="s">
        <v>109</v>
      </c>
      <c r="G53" s="323" t="s">
        <v>108</v>
      </c>
      <c r="H53" s="324" t="s">
        <v>14</v>
      </c>
      <c r="I53" s="278"/>
      <c r="J53" s="274"/>
      <c r="K53" s="274"/>
      <c r="L53" s="272"/>
      <c r="M53" s="340">
        <f t="shared" ref="M53:M61" si="28">N53+P53</f>
        <v>0</v>
      </c>
      <c r="N53" s="341"/>
      <c r="O53" s="341"/>
      <c r="P53" s="342">
        <v>0</v>
      </c>
      <c r="Q53" s="370">
        <f t="shared" ref="Q53:Q61" si="29">R53+T53</f>
        <v>50</v>
      </c>
      <c r="R53" s="371"/>
      <c r="S53" s="371"/>
      <c r="T53" s="372">
        <v>50</v>
      </c>
      <c r="U53" s="285"/>
      <c r="V53" s="286"/>
      <c r="W53" s="286"/>
      <c r="X53" s="284"/>
      <c r="Y53" s="530"/>
    </row>
    <row r="54" spans="1:25" ht="28.5" customHeight="1" thickBot="1" x14ac:dyDescent="0.25">
      <c r="A54" s="546"/>
      <c r="B54" s="547"/>
      <c r="C54" s="548"/>
      <c r="D54" s="549"/>
      <c r="E54" s="550"/>
      <c r="F54" s="531" t="s">
        <v>11</v>
      </c>
      <c r="G54" s="532"/>
      <c r="H54" s="533"/>
      <c r="I54" s="331"/>
      <c r="J54" s="332"/>
      <c r="K54" s="332"/>
      <c r="L54" s="333"/>
      <c r="M54" s="334">
        <f t="shared" si="28"/>
        <v>0</v>
      </c>
      <c r="N54" s="335"/>
      <c r="O54" s="335"/>
      <c r="P54" s="336">
        <f>P53</f>
        <v>0</v>
      </c>
      <c r="Q54" s="334">
        <f t="shared" si="29"/>
        <v>50</v>
      </c>
      <c r="R54" s="335"/>
      <c r="S54" s="335"/>
      <c r="T54" s="336">
        <f>T53</f>
        <v>50</v>
      </c>
      <c r="U54" s="334"/>
      <c r="V54" s="335"/>
      <c r="W54" s="335"/>
      <c r="X54" s="336"/>
      <c r="Y54" s="530"/>
    </row>
    <row r="55" spans="1:25" ht="30" customHeight="1" thickBot="1" x14ac:dyDescent="0.25">
      <c r="A55" s="546">
        <v>1</v>
      </c>
      <c r="B55" s="547">
        <v>2</v>
      </c>
      <c r="C55" s="548">
        <v>10</v>
      </c>
      <c r="D55" s="549" t="s">
        <v>167</v>
      </c>
      <c r="E55" s="548" t="s">
        <v>168</v>
      </c>
      <c r="F55" s="323" t="s">
        <v>20</v>
      </c>
      <c r="G55" s="323" t="s">
        <v>169</v>
      </c>
      <c r="H55" s="324" t="s">
        <v>14</v>
      </c>
      <c r="I55" s="278"/>
      <c r="J55" s="274"/>
      <c r="K55" s="274"/>
      <c r="L55" s="272"/>
      <c r="M55" s="285">
        <f t="shared" si="28"/>
        <v>48.4</v>
      </c>
      <c r="N55" s="286">
        <v>48.4</v>
      </c>
      <c r="O55" s="286"/>
      <c r="P55" s="284"/>
      <c r="Q55" s="370">
        <f t="shared" si="29"/>
        <v>0</v>
      </c>
      <c r="R55" s="371"/>
      <c r="S55" s="371"/>
      <c r="T55" s="372"/>
      <c r="U55" s="285"/>
      <c r="V55" s="286"/>
      <c r="W55" s="286"/>
      <c r="X55" s="284"/>
      <c r="Y55" s="530"/>
    </row>
    <row r="56" spans="1:25" ht="28.5" customHeight="1" thickBot="1" x14ac:dyDescent="0.25">
      <c r="A56" s="546"/>
      <c r="B56" s="547"/>
      <c r="C56" s="548"/>
      <c r="D56" s="549"/>
      <c r="E56" s="550"/>
      <c r="F56" s="531" t="s">
        <v>11</v>
      </c>
      <c r="G56" s="532"/>
      <c r="H56" s="533"/>
      <c r="I56" s="331"/>
      <c r="J56" s="332"/>
      <c r="K56" s="332"/>
      <c r="L56" s="333"/>
      <c r="M56" s="334">
        <f t="shared" si="28"/>
        <v>48.4</v>
      </c>
      <c r="N56" s="335">
        <f>N55</f>
        <v>48.4</v>
      </c>
      <c r="O56" s="335"/>
      <c r="P56" s="336">
        <f>P55</f>
        <v>0</v>
      </c>
      <c r="Q56" s="334">
        <f t="shared" si="29"/>
        <v>0</v>
      </c>
      <c r="R56" s="335"/>
      <c r="S56" s="335"/>
      <c r="T56" s="336">
        <f>T55</f>
        <v>0</v>
      </c>
      <c r="U56" s="334"/>
      <c r="V56" s="335"/>
      <c r="W56" s="335"/>
      <c r="X56" s="336"/>
      <c r="Y56" s="530"/>
    </row>
    <row r="57" spans="1:25" ht="32.700000000000003" customHeight="1" thickBot="1" x14ac:dyDescent="0.25">
      <c r="A57" s="546">
        <v>1</v>
      </c>
      <c r="B57" s="547">
        <v>2</v>
      </c>
      <c r="C57" s="548">
        <v>11</v>
      </c>
      <c r="D57" s="549" t="s">
        <v>170</v>
      </c>
      <c r="E57" s="548">
        <v>9</v>
      </c>
      <c r="F57" s="323" t="s">
        <v>19</v>
      </c>
      <c r="G57" s="323" t="s">
        <v>171</v>
      </c>
      <c r="H57" s="324" t="s">
        <v>14</v>
      </c>
      <c r="I57" s="278"/>
      <c r="J57" s="274"/>
      <c r="K57" s="274"/>
      <c r="L57" s="272"/>
      <c r="M57" s="285">
        <f t="shared" si="28"/>
        <v>0</v>
      </c>
      <c r="N57" s="286"/>
      <c r="O57" s="286"/>
      <c r="P57" s="284"/>
      <c r="Q57" s="370">
        <f t="shared" si="29"/>
        <v>30</v>
      </c>
      <c r="R57" s="371"/>
      <c r="S57" s="371"/>
      <c r="T57" s="372">
        <v>30</v>
      </c>
      <c r="U57" s="285"/>
      <c r="V57" s="286"/>
      <c r="W57" s="286"/>
      <c r="X57" s="284"/>
      <c r="Y57" s="530"/>
    </row>
    <row r="58" spans="1:25" ht="34.200000000000003" customHeight="1" thickBot="1" x14ac:dyDescent="0.25">
      <c r="A58" s="546"/>
      <c r="B58" s="547"/>
      <c r="C58" s="548"/>
      <c r="D58" s="549"/>
      <c r="E58" s="550"/>
      <c r="F58" s="531" t="s">
        <v>11</v>
      </c>
      <c r="G58" s="532"/>
      <c r="H58" s="533"/>
      <c r="I58" s="331"/>
      <c r="J58" s="332"/>
      <c r="K58" s="332"/>
      <c r="L58" s="333"/>
      <c r="M58" s="334">
        <f t="shared" si="28"/>
        <v>0</v>
      </c>
      <c r="N58" s="335"/>
      <c r="O58" s="335"/>
      <c r="P58" s="336">
        <f>P57</f>
        <v>0</v>
      </c>
      <c r="Q58" s="334">
        <f t="shared" si="29"/>
        <v>30</v>
      </c>
      <c r="R58" s="335"/>
      <c r="S58" s="335"/>
      <c r="T58" s="336">
        <f>T57</f>
        <v>30</v>
      </c>
      <c r="U58" s="334"/>
      <c r="V58" s="335"/>
      <c r="W58" s="335"/>
      <c r="X58" s="336"/>
      <c r="Y58" s="530"/>
    </row>
    <row r="59" spans="1:25" ht="30" customHeight="1" thickBot="1" x14ac:dyDescent="0.25">
      <c r="A59" s="704">
        <v>1</v>
      </c>
      <c r="B59" s="705">
        <v>2</v>
      </c>
      <c r="C59" s="706">
        <v>12</v>
      </c>
      <c r="D59" s="707" t="s">
        <v>172</v>
      </c>
      <c r="E59" s="706">
        <v>9</v>
      </c>
      <c r="F59" s="323" t="s">
        <v>19</v>
      </c>
      <c r="G59" s="522" t="s">
        <v>173</v>
      </c>
      <c r="H59" s="324" t="s">
        <v>14</v>
      </c>
      <c r="I59" s="278"/>
      <c r="J59" s="274"/>
      <c r="K59" s="274"/>
      <c r="L59" s="272"/>
      <c r="M59" s="285">
        <f t="shared" ref="M59:M60" si="30">N59+P59</f>
        <v>0</v>
      </c>
      <c r="N59" s="286"/>
      <c r="O59" s="286"/>
      <c r="P59" s="284"/>
      <c r="Q59" s="370">
        <f t="shared" ref="Q59:Q60" si="31">R59+T59</f>
        <v>7</v>
      </c>
      <c r="R59" s="371"/>
      <c r="S59" s="371"/>
      <c r="T59" s="372">
        <v>7</v>
      </c>
      <c r="U59" s="285"/>
      <c r="V59" s="286"/>
      <c r="W59" s="286"/>
      <c r="X59" s="284"/>
      <c r="Y59" s="530"/>
    </row>
    <row r="60" spans="1:25" ht="28.5" customHeight="1" thickBot="1" x14ac:dyDescent="0.25">
      <c r="A60" s="546"/>
      <c r="B60" s="547"/>
      <c r="C60" s="548"/>
      <c r="D60" s="549"/>
      <c r="E60" s="550"/>
      <c r="F60" s="531" t="s">
        <v>11</v>
      </c>
      <c r="G60" s="532"/>
      <c r="H60" s="533"/>
      <c r="I60" s="331"/>
      <c r="J60" s="332"/>
      <c r="K60" s="332"/>
      <c r="L60" s="333"/>
      <c r="M60" s="334">
        <f t="shared" si="30"/>
        <v>0</v>
      </c>
      <c r="N60" s="335">
        <f>N59</f>
        <v>0</v>
      </c>
      <c r="O60" s="335"/>
      <c r="P60" s="336">
        <f>P59</f>
        <v>0</v>
      </c>
      <c r="Q60" s="334">
        <f t="shared" si="31"/>
        <v>7</v>
      </c>
      <c r="R60" s="335"/>
      <c r="S60" s="335"/>
      <c r="T60" s="336">
        <f>T59</f>
        <v>7</v>
      </c>
      <c r="U60" s="334"/>
      <c r="V60" s="335"/>
      <c r="W60" s="335"/>
      <c r="X60" s="336"/>
      <c r="Y60" s="530"/>
    </row>
    <row r="61" spans="1:25" ht="12.75" customHeight="1" thickBot="1" x14ac:dyDescent="0.25">
      <c r="A61" s="78">
        <v>1</v>
      </c>
      <c r="B61" s="79">
        <v>2</v>
      </c>
      <c r="C61" s="696" t="s">
        <v>9</v>
      </c>
      <c r="D61" s="697"/>
      <c r="E61" s="697"/>
      <c r="F61" s="697"/>
      <c r="G61" s="697"/>
      <c r="H61" s="698"/>
      <c r="I61" s="248">
        <f>J61+L61</f>
        <v>944.30000000000007</v>
      </c>
      <c r="J61" s="249">
        <f>J54+J52+J50+J48+J44+J42+J40+J38+J33</f>
        <v>40.700000000000003</v>
      </c>
      <c r="K61" s="249">
        <f t="shared" ref="K61" si="32">K54+K52+K50+K48+K44+K42+K40+K38+K33</f>
        <v>0</v>
      </c>
      <c r="L61" s="249">
        <f>L54+L52+L50+L48+L44+L42+L40+L38+L33</f>
        <v>903.6</v>
      </c>
      <c r="M61" s="248">
        <f t="shared" si="28"/>
        <v>877.19999999999993</v>
      </c>
      <c r="N61" s="249">
        <f>N54+N52+N50+N48+N44+N42+N40+N38+N33+N56+N58</f>
        <v>105.5</v>
      </c>
      <c r="O61" s="249">
        <f t="shared" ref="O61" si="33">O54+O52+O50+O48+O44+O42+O40+O38+O33</f>
        <v>0</v>
      </c>
      <c r="P61" s="249">
        <f>P54+P52+P50+P48+P44+P42+P40+P38+P33+P56</f>
        <v>771.69999999999993</v>
      </c>
      <c r="Q61" s="248">
        <f t="shared" si="29"/>
        <v>1057.3</v>
      </c>
      <c r="R61" s="249">
        <f>R54+R52+R50+R48+R44+R42+R40+R38+R33+R58+R60</f>
        <v>42.9</v>
      </c>
      <c r="S61" s="249">
        <f>S54+S52+S50+S48+S44+S42+S40+S38+S33+S58+S60</f>
        <v>0</v>
      </c>
      <c r="T61" s="249">
        <f>T54+T52+T50+T48+T44+T42+T40+T38+T33+T56+T58+T60</f>
        <v>1014.4</v>
      </c>
      <c r="U61" s="250">
        <f>V61+X61</f>
        <v>350</v>
      </c>
      <c r="V61" s="249">
        <f>V54+V52+V50+V48+V44+V42+V40+V38+V33</f>
        <v>0</v>
      </c>
      <c r="W61" s="249">
        <f t="shared" ref="W61" si="34">W54+W52+W50+W48+W44+W42+W40+W38+W33</f>
        <v>0</v>
      </c>
      <c r="X61" s="249">
        <f t="shared" ref="X61" si="35">X54+X52+X50+X48+X44+X42+X40+X38+X33</f>
        <v>350</v>
      </c>
    </row>
    <row r="62" spans="1:25" ht="12.75" customHeight="1" thickBot="1" x14ac:dyDescent="0.25">
      <c r="A62" s="80">
        <v>1</v>
      </c>
      <c r="B62" s="699" t="s">
        <v>10</v>
      </c>
      <c r="C62" s="700"/>
      <c r="D62" s="700"/>
      <c r="E62" s="700"/>
      <c r="F62" s="700"/>
      <c r="G62" s="700"/>
      <c r="H62" s="701"/>
      <c r="I62" s="165">
        <f>SUM(J62,L62)</f>
        <v>4063.1999999999994</v>
      </c>
      <c r="J62" s="166">
        <f>J27+J61</f>
        <v>40.700000000000003</v>
      </c>
      <c r="K62" s="166">
        <f>K27+K61</f>
        <v>0</v>
      </c>
      <c r="L62" s="167">
        <f>L27+L61</f>
        <v>4022.4999999999995</v>
      </c>
      <c r="M62" s="165">
        <f>SUM(N62,P62)</f>
        <v>3493.7999999999997</v>
      </c>
      <c r="N62" s="166">
        <f>N27+N61</f>
        <v>105.5</v>
      </c>
      <c r="O62" s="166">
        <f>O27+O61</f>
        <v>0</v>
      </c>
      <c r="P62" s="167">
        <f>P27+P61</f>
        <v>3388.2999999999997</v>
      </c>
      <c r="Q62" s="165">
        <f>SUM(R62,T62)</f>
        <v>1057.3</v>
      </c>
      <c r="R62" s="166">
        <f>R27+R61</f>
        <v>42.9</v>
      </c>
      <c r="S62" s="166">
        <f>S27+S61</f>
        <v>0</v>
      </c>
      <c r="T62" s="206">
        <f>T27+T61</f>
        <v>1014.4</v>
      </c>
      <c r="U62" s="165">
        <f>SUM(V62,X62)</f>
        <v>350</v>
      </c>
      <c r="V62" s="166">
        <f>V27+V61</f>
        <v>0</v>
      </c>
      <c r="W62" s="166">
        <f>W27+W61</f>
        <v>0</v>
      </c>
      <c r="X62" s="167">
        <f>X27+X61</f>
        <v>350</v>
      </c>
    </row>
    <row r="63" spans="1:25" ht="15.75" customHeight="1" thickBot="1" x14ac:dyDescent="0.25">
      <c r="A63" s="81">
        <v>2</v>
      </c>
      <c r="B63" s="607" t="s">
        <v>29</v>
      </c>
      <c r="C63" s="608"/>
      <c r="D63" s="608"/>
      <c r="E63" s="608"/>
      <c r="F63" s="608"/>
      <c r="G63" s="608"/>
      <c r="H63" s="608"/>
      <c r="I63" s="608"/>
      <c r="J63" s="608"/>
      <c r="K63" s="608"/>
      <c r="L63" s="608"/>
      <c r="M63" s="608"/>
      <c r="N63" s="608"/>
      <c r="O63" s="608"/>
      <c r="P63" s="608"/>
      <c r="Q63" s="608"/>
      <c r="R63" s="608"/>
      <c r="S63" s="608"/>
      <c r="T63" s="608"/>
      <c r="U63" s="608"/>
      <c r="V63" s="608"/>
      <c r="W63" s="608"/>
      <c r="X63" s="609"/>
    </row>
    <row r="64" spans="1:25" ht="13.5" customHeight="1" thickBot="1" x14ac:dyDescent="0.25">
      <c r="A64" s="82">
        <v>2</v>
      </c>
      <c r="B64" s="127">
        <v>1</v>
      </c>
      <c r="C64" s="564" t="s">
        <v>16</v>
      </c>
      <c r="D64" s="565"/>
      <c r="E64" s="565"/>
      <c r="F64" s="565"/>
      <c r="G64" s="565"/>
      <c r="H64" s="565"/>
      <c r="I64" s="565"/>
      <c r="J64" s="565"/>
      <c r="K64" s="565"/>
      <c r="L64" s="565"/>
      <c r="M64" s="565"/>
      <c r="N64" s="565"/>
      <c r="O64" s="565"/>
      <c r="P64" s="565"/>
      <c r="Q64" s="565"/>
      <c r="R64" s="565"/>
      <c r="S64" s="565"/>
      <c r="T64" s="565"/>
      <c r="U64" s="565"/>
      <c r="V64" s="565"/>
      <c r="W64" s="565"/>
      <c r="X64" s="566"/>
    </row>
    <row r="65" spans="1:24" ht="24" customHeight="1" thickBot="1" x14ac:dyDescent="0.25">
      <c r="A65" s="534">
        <v>2</v>
      </c>
      <c r="B65" s="535">
        <v>1</v>
      </c>
      <c r="C65" s="562">
        <v>1</v>
      </c>
      <c r="D65" s="527" t="s">
        <v>99</v>
      </c>
      <c r="E65" s="703" t="s">
        <v>124</v>
      </c>
      <c r="F65" s="263" t="s">
        <v>71</v>
      </c>
      <c r="G65" s="263" t="s">
        <v>106</v>
      </c>
      <c r="H65" s="256" t="s">
        <v>14</v>
      </c>
      <c r="I65" s="182">
        <f t="shared" ref="I65:I66" si="36">SUM(J65,L65)</f>
        <v>0</v>
      </c>
      <c r="J65" s="171"/>
      <c r="K65" s="171">
        <v>0</v>
      </c>
      <c r="L65" s="194">
        <v>0</v>
      </c>
      <c r="M65" s="182"/>
      <c r="N65" s="171"/>
      <c r="O65" s="9"/>
      <c r="P65" s="27"/>
      <c r="Q65" s="35">
        <f t="shared" ref="Q65:Q66" si="37">SUM(R65,T65)</f>
        <v>20</v>
      </c>
      <c r="R65" s="9">
        <v>20</v>
      </c>
      <c r="S65" s="9"/>
      <c r="T65" s="26"/>
      <c r="U65" s="210">
        <f t="shared" ref="U65:U66" si="38">SUM(V65,X65)</f>
        <v>0</v>
      </c>
      <c r="V65" s="40"/>
      <c r="W65" s="40"/>
      <c r="X65" s="30"/>
    </row>
    <row r="66" spans="1:24" ht="15" customHeight="1" thickBot="1" x14ac:dyDescent="0.25">
      <c r="A66" s="534"/>
      <c r="B66" s="535"/>
      <c r="C66" s="536"/>
      <c r="D66" s="702"/>
      <c r="E66" s="611"/>
      <c r="F66" s="580" t="s">
        <v>11</v>
      </c>
      <c r="G66" s="581"/>
      <c r="H66" s="582"/>
      <c r="I66" s="103">
        <f t="shared" si="36"/>
        <v>0</v>
      </c>
      <c r="J66" s="104">
        <f>SUM(J65)</f>
        <v>0</v>
      </c>
      <c r="K66" s="104">
        <f>SUM(K65)</f>
        <v>0</v>
      </c>
      <c r="L66" s="108">
        <f>SUM(L65)</f>
        <v>0</v>
      </c>
      <c r="M66" s="103"/>
      <c r="N66" s="104"/>
      <c r="O66" s="104"/>
      <c r="P66" s="108"/>
      <c r="Q66" s="103">
        <f t="shared" si="37"/>
        <v>20</v>
      </c>
      <c r="R66" s="104">
        <f>SUM(R65)</f>
        <v>20</v>
      </c>
      <c r="S66" s="104"/>
      <c r="T66" s="5"/>
      <c r="U66" s="7">
        <f t="shared" si="38"/>
        <v>0</v>
      </c>
      <c r="V66" s="104">
        <f>SUM(V65)</f>
        <v>0</v>
      </c>
      <c r="W66" s="104"/>
      <c r="X66" s="108"/>
    </row>
    <row r="67" spans="1:24" ht="21.75" customHeight="1" x14ac:dyDescent="0.2">
      <c r="A67" s="558">
        <v>2</v>
      </c>
      <c r="B67" s="670">
        <v>1</v>
      </c>
      <c r="C67" s="536">
        <v>2</v>
      </c>
      <c r="D67" s="526" t="s">
        <v>134</v>
      </c>
      <c r="E67" s="540" t="s">
        <v>113</v>
      </c>
      <c r="F67" s="574" t="s">
        <v>20</v>
      </c>
      <c r="G67" s="625" t="s">
        <v>91</v>
      </c>
      <c r="H67" s="147" t="s">
        <v>17</v>
      </c>
      <c r="I67" s="184">
        <f>J67+L67</f>
        <v>62</v>
      </c>
      <c r="J67" s="169">
        <v>19.8</v>
      </c>
      <c r="K67" s="129">
        <v>19.100000000000001</v>
      </c>
      <c r="L67" s="148">
        <v>42.2</v>
      </c>
      <c r="M67" s="128">
        <v>12.2</v>
      </c>
      <c r="N67" s="169">
        <v>8.4</v>
      </c>
      <c r="O67" s="129">
        <v>10</v>
      </c>
      <c r="P67" s="110">
        <v>3.8</v>
      </c>
      <c r="Q67" s="109"/>
      <c r="R67" s="6"/>
      <c r="S67" s="106"/>
      <c r="T67" s="12"/>
      <c r="U67" s="294"/>
      <c r="V67" s="9"/>
      <c r="W67" s="9"/>
      <c r="X67" s="27"/>
    </row>
    <row r="68" spans="1:24" ht="24" customHeight="1" thickBot="1" x14ac:dyDescent="0.25">
      <c r="A68" s="694"/>
      <c r="B68" s="695"/>
      <c r="C68" s="536"/>
      <c r="D68" s="606"/>
      <c r="E68" s="716"/>
      <c r="F68" s="575"/>
      <c r="G68" s="598"/>
      <c r="H68" s="195" t="s">
        <v>14</v>
      </c>
      <c r="I68" s="135">
        <v>11</v>
      </c>
      <c r="J68" s="170">
        <v>11</v>
      </c>
      <c r="K68" s="171">
        <v>9.9</v>
      </c>
      <c r="L68" s="172"/>
      <c r="M68" s="173"/>
      <c r="N68" s="170"/>
      <c r="O68" s="171"/>
      <c r="P68" s="39"/>
      <c r="Q68" s="25"/>
      <c r="R68" s="26"/>
      <c r="S68" s="9"/>
      <c r="T68" s="27"/>
      <c r="U68" s="96"/>
      <c r="V68" s="95"/>
      <c r="W68" s="95"/>
      <c r="X68" s="107"/>
    </row>
    <row r="69" spans="1:24" ht="24" hidden="1" customHeight="1" thickBot="1" x14ac:dyDescent="0.25">
      <c r="A69" s="694"/>
      <c r="B69" s="695"/>
      <c r="C69" s="536"/>
      <c r="D69" s="606"/>
      <c r="E69" s="716"/>
      <c r="F69" s="605"/>
      <c r="G69" s="626"/>
      <c r="H69" s="196" t="s">
        <v>96</v>
      </c>
      <c r="I69" s="182">
        <f t="shared" ref="I69" si="39">SUM(J69:L69)</f>
        <v>0</v>
      </c>
      <c r="J69" s="185"/>
      <c r="K69" s="175"/>
      <c r="L69" s="176"/>
      <c r="M69" s="174"/>
      <c r="N69" s="185"/>
      <c r="O69" s="175"/>
      <c r="P69" s="65"/>
      <c r="Q69" s="64"/>
      <c r="R69" s="121"/>
      <c r="S69" s="62"/>
      <c r="T69" s="245"/>
      <c r="U69" s="295"/>
      <c r="V69" s="149"/>
      <c r="W69" s="149"/>
      <c r="X69" s="150"/>
    </row>
    <row r="70" spans="1:24" ht="22.5" customHeight="1" thickBot="1" x14ac:dyDescent="0.25">
      <c r="A70" s="559"/>
      <c r="B70" s="671"/>
      <c r="C70" s="536"/>
      <c r="D70" s="527"/>
      <c r="E70" s="703"/>
      <c r="F70" s="541" t="s">
        <v>11</v>
      </c>
      <c r="G70" s="542"/>
      <c r="H70" s="542"/>
      <c r="I70" s="18">
        <f t="shared" ref="I70" si="40">SUM(J70,L70)</f>
        <v>73</v>
      </c>
      <c r="J70" s="19">
        <f>SUM(J67:J69)</f>
        <v>30.8</v>
      </c>
      <c r="K70" s="19">
        <f>SUM(K67:K69)</f>
        <v>29</v>
      </c>
      <c r="L70" s="20">
        <f>SUM(L67:L68)</f>
        <v>42.2</v>
      </c>
      <c r="M70" s="18">
        <f t="shared" ref="M70" si="41">SUM(N70,P70)</f>
        <v>12.2</v>
      </c>
      <c r="N70" s="19">
        <f>SUM(N67:N69)</f>
        <v>8.4</v>
      </c>
      <c r="O70" s="19">
        <f>SUM(O67:O68)</f>
        <v>10</v>
      </c>
      <c r="P70" s="20">
        <f>SUM(P67:P68)</f>
        <v>3.8</v>
      </c>
      <c r="Q70" s="18"/>
      <c r="R70" s="19"/>
      <c r="S70" s="19"/>
      <c r="T70" s="20"/>
      <c r="U70" s="297"/>
      <c r="V70" s="19"/>
      <c r="W70" s="19"/>
      <c r="X70" s="20"/>
    </row>
    <row r="71" spans="1:24" ht="13.5" customHeight="1" thickBot="1" x14ac:dyDescent="0.25">
      <c r="A71" s="83">
        <v>2</v>
      </c>
      <c r="B71" s="84">
        <v>1</v>
      </c>
      <c r="C71" s="732" t="s">
        <v>9</v>
      </c>
      <c r="D71" s="733"/>
      <c r="E71" s="733"/>
      <c r="F71" s="733"/>
      <c r="G71" s="733"/>
      <c r="H71" s="734"/>
      <c r="I71" s="37">
        <f t="shared" ref="I71" si="42">J71+L71</f>
        <v>73</v>
      </c>
      <c r="J71" s="38">
        <f>J70+J66</f>
        <v>30.8</v>
      </c>
      <c r="K71" s="38">
        <f t="shared" ref="K71:L71" si="43">K70+K66</f>
        <v>29</v>
      </c>
      <c r="L71" s="38">
        <f t="shared" si="43"/>
        <v>42.2</v>
      </c>
      <c r="M71" s="37">
        <f t="shared" ref="M71" si="44">N71+P71</f>
        <v>12.2</v>
      </c>
      <c r="N71" s="38">
        <f>N70+N66</f>
        <v>8.4</v>
      </c>
      <c r="O71" s="38">
        <f t="shared" ref="O71" si="45">O70+O66</f>
        <v>10</v>
      </c>
      <c r="P71" s="38">
        <f t="shared" ref="P71" si="46">P70+P66</f>
        <v>3.8</v>
      </c>
      <c r="Q71" s="37">
        <f t="shared" ref="Q71" si="47">R71+T71</f>
        <v>20</v>
      </c>
      <c r="R71" s="38">
        <f>R70+R66</f>
        <v>20</v>
      </c>
      <c r="S71" s="38">
        <f t="shared" ref="S71" si="48">S70+S66</f>
        <v>0</v>
      </c>
      <c r="T71" s="38">
        <f t="shared" ref="T71" si="49">T70+T66</f>
        <v>0</v>
      </c>
      <c r="U71" s="298">
        <f t="shared" ref="U71" si="50">V71+X71</f>
        <v>0</v>
      </c>
      <c r="V71" s="38">
        <f>V70+V66</f>
        <v>0</v>
      </c>
      <c r="W71" s="38">
        <f t="shared" ref="W71" si="51">W70+W66</f>
        <v>0</v>
      </c>
      <c r="X71" s="38">
        <f t="shared" ref="X71" si="52">X70+X66</f>
        <v>0</v>
      </c>
    </row>
    <row r="72" spans="1:24" ht="12.75" customHeight="1" thickBot="1" x14ac:dyDescent="0.25">
      <c r="A72" s="266">
        <v>2</v>
      </c>
      <c r="B72" s="85">
        <v>2</v>
      </c>
      <c r="C72" s="564" t="s">
        <v>15</v>
      </c>
      <c r="D72" s="565"/>
      <c r="E72" s="565"/>
      <c r="F72" s="565"/>
      <c r="G72" s="565"/>
      <c r="H72" s="565"/>
      <c r="I72" s="565"/>
      <c r="J72" s="565"/>
      <c r="K72" s="565"/>
      <c r="L72" s="565"/>
      <c r="M72" s="565"/>
      <c r="N72" s="565"/>
      <c r="O72" s="565"/>
      <c r="P72" s="565"/>
      <c r="Q72" s="565"/>
      <c r="R72" s="565"/>
      <c r="S72" s="565"/>
      <c r="T72" s="565"/>
      <c r="U72" s="565"/>
      <c r="V72" s="565"/>
      <c r="W72" s="565"/>
      <c r="X72" s="566"/>
    </row>
    <row r="73" spans="1:24" ht="16.5" customHeight="1" x14ac:dyDescent="0.2">
      <c r="A73" s="667">
        <v>2</v>
      </c>
      <c r="B73" s="715">
        <v>2</v>
      </c>
      <c r="C73" s="544">
        <v>1</v>
      </c>
      <c r="D73" s="725" t="s">
        <v>30</v>
      </c>
      <c r="E73" s="717" t="s">
        <v>31</v>
      </c>
      <c r="F73" s="544" t="s">
        <v>72</v>
      </c>
      <c r="G73" s="544" t="s">
        <v>37</v>
      </c>
      <c r="H73" s="99" t="s">
        <v>18</v>
      </c>
      <c r="I73" s="188">
        <v>201.3</v>
      </c>
      <c r="J73" s="168">
        <v>201.3</v>
      </c>
      <c r="K73" s="101">
        <v>0</v>
      </c>
      <c r="L73" s="102"/>
      <c r="M73" s="8">
        <f>N73+P73</f>
        <v>251.7</v>
      </c>
      <c r="N73" s="168">
        <f>155+46.7</f>
        <v>201.7</v>
      </c>
      <c r="O73" s="168"/>
      <c r="P73" s="384">
        <v>50</v>
      </c>
      <c r="Q73" s="8">
        <v>205</v>
      </c>
      <c r="R73" s="100">
        <v>205</v>
      </c>
      <c r="S73" s="101"/>
      <c r="T73" s="299"/>
      <c r="U73" s="302">
        <v>205</v>
      </c>
      <c r="V73" s="101">
        <v>205</v>
      </c>
      <c r="W73" s="101"/>
      <c r="X73" s="299"/>
    </row>
    <row r="74" spans="1:24" ht="16.5" customHeight="1" thickBot="1" x14ac:dyDescent="0.25">
      <c r="A74" s="667"/>
      <c r="B74" s="715"/>
      <c r="C74" s="544"/>
      <c r="D74" s="725"/>
      <c r="E74" s="717"/>
      <c r="F74" s="544"/>
      <c r="G74" s="544"/>
      <c r="H74" s="99" t="s">
        <v>52</v>
      </c>
      <c r="I74" s="188">
        <f>J74+L74</f>
        <v>56.7</v>
      </c>
      <c r="J74" s="168">
        <v>56.7</v>
      </c>
      <c r="K74" s="101"/>
      <c r="L74" s="102"/>
      <c r="M74" s="45">
        <v>52.6</v>
      </c>
      <c r="N74" s="100">
        <v>52.6</v>
      </c>
      <c r="O74" s="101"/>
      <c r="P74" s="102"/>
      <c r="Q74" s="45"/>
      <c r="R74" s="100"/>
      <c r="S74" s="101"/>
      <c r="T74" s="102"/>
      <c r="U74" s="303"/>
      <c r="V74" s="217"/>
      <c r="W74" s="217"/>
      <c r="X74" s="300"/>
    </row>
    <row r="75" spans="1:24" ht="18" customHeight="1" thickBot="1" x14ac:dyDescent="0.25">
      <c r="A75" s="667"/>
      <c r="B75" s="715"/>
      <c r="C75" s="657"/>
      <c r="D75" s="578"/>
      <c r="E75" s="718"/>
      <c r="F75" s="580" t="s">
        <v>11</v>
      </c>
      <c r="G75" s="581"/>
      <c r="H75" s="582"/>
      <c r="I75" s="18">
        <f t="shared" ref="I75:I77" si="53">SUM(J75,L75)</f>
        <v>258</v>
      </c>
      <c r="J75" s="33">
        <f>SUM(J73:J74)</f>
        <v>258</v>
      </c>
      <c r="K75" s="33">
        <f>SUM(K73:K74)</f>
        <v>0</v>
      </c>
      <c r="L75" s="20">
        <f>SUM(L73:L74)</f>
        <v>0</v>
      </c>
      <c r="M75" s="18">
        <f t="shared" ref="M75" si="54">SUM(N75,P75)</f>
        <v>304.29999999999995</v>
      </c>
      <c r="N75" s="33">
        <f>SUM(N73:N74)</f>
        <v>254.29999999999998</v>
      </c>
      <c r="O75" s="33"/>
      <c r="P75" s="20">
        <f>SUM(P73:P74)</f>
        <v>50</v>
      </c>
      <c r="Q75" s="18">
        <f t="shared" ref="Q75" si="55">SUM(R75,T75)</f>
        <v>205</v>
      </c>
      <c r="R75" s="33">
        <f>SUM(R73:R74)</f>
        <v>205</v>
      </c>
      <c r="S75" s="33"/>
      <c r="T75" s="20">
        <f>SUM(T73:T74)</f>
        <v>0</v>
      </c>
      <c r="U75" s="297">
        <f t="shared" ref="U75" si="56">SUM(V75,X75)</f>
        <v>205</v>
      </c>
      <c r="V75" s="19">
        <f>SUM(V73:V74)</f>
        <v>205</v>
      </c>
      <c r="W75" s="19"/>
      <c r="X75" s="20">
        <f>SUM(X73:X74)</f>
        <v>0</v>
      </c>
    </row>
    <row r="76" spans="1:24" ht="24.75" customHeight="1" thickBot="1" x14ac:dyDescent="0.25">
      <c r="A76" s="534">
        <v>2</v>
      </c>
      <c r="B76" s="535">
        <v>2</v>
      </c>
      <c r="C76" s="536">
        <v>2</v>
      </c>
      <c r="D76" s="537" t="s">
        <v>33</v>
      </c>
      <c r="E76" s="611" t="s">
        <v>114</v>
      </c>
      <c r="F76" s="126" t="s">
        <v>20</v>
      </c>
      <c r="G76" s="264" t="s">
        <v>38</v>
      </c>
      <c r="H76" s="147" t="s">
        <v>102</v>
      </c>
      <c r="I76" s="177">
        <v>1950</v>
      </c>
      <c r="J76" s="179">
        <v>1950</v>
      </c>
      <c r="K76" s="179">
        <v>0</v>
      </c>
      <c r="L76" s="193">
        <v>0</v>
      </c>
      <c r="M76" s="177">
        <f>SUM(N76,P76)</f>
        <v>2100</v>
      </c>
      <c r="N76" s="179">
        <f>1800+300</f>
        <v>2100</v>
      </c>
      <c r="O76" s="179"/>
      <c r="P76" s="193">
        <v>0</v>
      </c>
      <c r="Q76" s="177">
        <f>SUM(R76,T76)</f>
        <v>1800</v>
      </c>
      <c r="R76" s="179">
        <v>1800</v>
      </c>
      <c r="S76" s="179"/>
      <c r="T76" s="159">
        <v>0</v>
      </c>
      <c r="U76" s="304">
        <v>1800</v>
      </c>
      <c r="V76" s="219">
        <v>1800</v>
      </c>
      <c r="W76" s="219"/>
      <c r="X76" s="301">
        <v>0</v>
      </c>
    </row>
    <row r="77" spans="1:24" ht="23.25" customHeight="1" thickBot="1" x14ac:dyDescent="0.25">
      <c r="A77" s="534"/>
      <c r="B77" s="535"/>
      <c r="C77" s="536"/>
      <c r="D77" s="537"/>
      <c r="E77" s="611"/>
      <c r="F77" s="541" t="s">
        <v>11</v>
      </c>
      <c r="G77" s="542"/>
      <c r="H77" s="543"/>
      <c r="I77" s="18">
        <f t="shared" si="53"/>
        <v>1950</v>
      </c>
      <c r="J77" s="19">
        <f>SUM(J76:J76)</f>
        <v>1950</v>
      </c>
      <c r="K77" s="19">
        <f>SUM(K76:K76)</f>
        <v>0</v>
      </c>
      <c r="L77" s="20">
        <f>SUM(L76:L76)</f>
        <v>0</v>
      </c>
      <c r="M77" s="18">
        <f t="shared" ref="M77" si="57">SUM(N77,P77)</f>
        <v>2100</v>
      </c>
      <c r="N77" s="19">
        <f>SUM(N76:N76)</f>
        <v>2100</v>
      </c>
      <c r="O77" s="19"/>
      <c r="P77" s="20">
        <f>SUM(P76:P76)</f>
        <v>0</v>
      </c>
      <c r="Q77" s="18">
        <f t="shared" ref="Q77" si="58">SUM(R77,T77)</f>
        <v>1800</v>
      </c>
      <c r="R77" s="19">
        <f>SUM(R76:R76)</f>
        <v>1800</v>
      </c>
      <c r="S77" s="19"/>
      <c r="T77" s="20">
        <f>SUM(T76:T76)</f>
        <v>0</v>
      </c>
      <c r="U77" s="297">
        <f t="shared" ref="U77" si="59">SUM(V77,X77)</f>
        <v>1800</v>
      </c>
      <c r="V77" s="19">
        <f>SUM(V76:V76)</f>
        <v>1800</v>
      </c>
      <c r="W77" s="19"/>
      <c r="X77" s="20">
        <f>SUM(X76:X76)</f>
        <v>0</v>
      </c>
    </row>
    <row r="78" spans="1:24" ht="21.75" customHeight="1" thickBot="1" x14ac:dyDescent="0.25">
      <c r="A78" s="694">
        <v>2</v>
      </c>
      <c r="B78" s="695">
        <v>2</v>
      </c>
      <c r="C78" s="536">
        <v>3</v>
      </c>
      <c r="D78" s="538" t="s">
        <v>79</v>
      </c>
      <c r="E78" s="540" t="s">
        <v>31</v>
      </c>
      <c r="F78" s="151" t="s">
        <v>20</v>
      </c>
      <c r="G78" s="152" t="s">
        <v>62</v>
      </c>
      <c r="H78" s="181" t="s">
        <v>14</v>
      </c>
      <c r="I78" s="182">
        <f t="shared" ref="I78" si="60">SUM(J78,L78)</f>
        <v>14.1</v>
      </c>
      <c r="J78" s="183">
        <v>14.1</v>
      </c>
      <c r="K78" s="149"/>
      <c r="L78" s="150"/>
      <c r="M78" s="115"/>
      <c r="N78" s="114"/>
      <c r="O78" s="114"/>
      <c r="P78" s="61"/>
      <c r="Q78" s="115"/>
      <c r="R78" s="114"/>
      <c r="S78" s="114"/>
      <c r="T78" s="61"/>
      <c r="U78" s="63"/>
      <c r="V78" s="62"/>
      <c r="W78" s="62"/>
      <c r="X78" s="245"/>
    </row>
    <row r="79" spans="1:24" ht="21.75" customHeight="1" thickBot="1" x14ac:dyDescent="0.25">
      <c r="A79" s="559"/>
      <c r="B79" s="671"/>
      <c r="C79" s="536"/>
      <c r="D79" s="563"/>
      <c r="E79" s="703"/>
      <c r="F79" s="541" t="s">
        <v>11</v>
      </c>
      <c r="G79" s="542"/>
      <c r="H79" s="543"/>
      <c r="I79" s="103">
        <f>SUM(J79)</f>
        <v>14.1</v>
      </c>
      <c r="J79" s="5">
        <v>14.1</v>
      </c>
      <c r="K79" s="104"/>
      <c r="L79" s="108"/>
      <c r="M79" s="91">
        <f t="shared" ref="M79" si="61">SUM(N79,P79)</f>
        <v>0</v>
      </c>
      <c r="N79" s="92"/>
      <c r="O79" s="92"/>
      <c r="P79" s="94"/>
      <c r="Q79" s="91">
        <f t="shared" ref="Q79" si="62">SUM(R79,T79)</f>
        <v>0</v>
      </c>
      <c r="R79" s="92"/>
      <c r="S79" s="92"/>
      <c r="T79" s="94"/>
      <c r="U79" s="296">
        <f t="shared" ref="U79:U80" si="63">SUM(V79,X79)</f>
        <v>0</v>
      </c>
      <c r="V79" s="104"/>
      <c r="W79" s="104"/>
      <c r="X79" s="108"/>
    </row>
    <row r="80" spans="1:24" ht="14.25" customHeight="1" x14ac:dyDescent="0.2">
      <c r="A80" s="558">
        <v>2</v>
      </c>
      <c r="B80" s="560">
        <v>2</v>
      </c>
      <c r="C80" s="524">
        <v>4</v>
      </c>
      <c r="D80" s="538" t="s">
        <v>77</v>
      </c>
      <c r="E80" s="540" t="s">
        <v>31</v>
      </c>
      <c r="F80" s="625" t="s">
        <v>78</v>
      </c>
      <c r="G80" s="625" t="s">
        <v>81</v>
      </c>
      <c r="H80" s="116" t="s">
        <v>14</v>
      </c>
      <c r="I80" s="184">
        <v>63.7</v>
      </c>
      <c r="J80" s="171">
        <v>5.9</v>
      </c>
      <c r="K80" s="143">
        <v>5.5</v>
      </c>
      <c r="L80" s="172">
        <v>57.8</v>
      </c>
      <c r="M80" s="112">
        <f t="shared" ref="M80" si="64">SUM(N80,P80)</f>
        <v>19.5</v>
      </c>
      <c r="N80" s="106">
        <f>10-3.9</f>
        <v>6.1</v>
      </c>
      <c r="O80" s="111">
        <v>6</v>
      </c>
      <c r="P80" s="110">
        <f>135-95.5-26.1</f>
        <v>13.399999999999999</v>
      </c>
      <c r="Q80" s="112">
        <f>R80+T80</f>
        <v>175.5</v>
      </c>
      <c r="R80" s="106">
        <f>3.9</f>
        <v>3.9</v>
      </c>
      <c r="S80" s="111">
        <v>0</v>
      </c>
      <c r="T80" s="12">
        <f>50+95.5+26.1</f>
        <v>171.6</v>
      </c>
      <c r="U80" s="294">
        <f t="shared" si="63"/>
        <v>0</v>
      </c>
      <c r="V80" s="9"/>
      <c r="W80" s="9">
        <v>0</v>
      </c>
      <c r="X80" s="27"/>
    </row>
    <row r="81" spans="1:38" ht="14.25" customHeight="1" x14ac:dyDescent="0.2">
      <c r="A81" s="694"/>
      <c r="B81" s="560"/>
      <c r="C81" s="525"/>
      <c r="D81" s="714"/>
      <c r="E81" s="716"/>
      <c r="F81" s="598"/>
      <c r="G81" s="598"/>
      <c r="H81" s="90" t="s">
        <v>80</v>
      </c>
      <c r="I81" s="191">
        <f>J81+L81</f>
        <v>32.6</v>
      </c>
      <c r="J81" s="189"/>
      <c r="K81" s="140"/>
      <c r="L81" s="190">
        <v>32.6</v>
      </c>
      <c r="M81" s="97">
        <f>N81+P81</f>
        <v>0</v>
      </c>
      <c r="N81" s="95"/>
      <c r="O81" s="96"/>
      <c r="P81" s="98">
        <f>16-16</f>
        <v>0</v>
      </c>
      <c r="Q81" s="97">
        <f>R81+T81</f>
        <v>16</v>
      </c>
      <c r="R81" s="95"/>
      <c r="S81" s="96"/>
      <c r="T81" s="107">
        <f>16</f>
        <v>16</v>
      </c>
      <c r="U81" s="96"/>
      <c r="V81" s="95"/>
      <c r="W81" s="95"/>
      <c r="X81" s="107"/>
    </row>
    <row r="82" spans="1:38" ht="14.25" customHeight="1" thickBot="1" x14ac:dyDescent="0.25">
      <c r="A82" s="694"/>
      <c r="B82" s="560"/>
      <c r="C82" s="525"/>
      <c r="D82" s="714"/>
      <c r="E82" s="716"/>
      <c r="F82" s="598"/>
      <c r="G82" s="598"/>
      <c r="H82" s="256" t="s">
        <v>17</v>
      </c>
      <c r="I82" s="135">
        <f>J82+L82</f>
        <v>84.9</v>
      </c>
      <c r="J82" s="175"/>
      <c r="K82" s="192"/>
      <c r="L82" s="176">
        <v>84.9</v>
      </c>
      <c r="M82" s="66">
        <f>N82+P82</f>
        <v>0</v>
      </c>
      <c r="N82" s="62"/>
      <c r="O82" s="63"/>
      <c r="P82" s="65">
        <f>222.4-222.4</f>
        <v>0</v>
      </c>
      <c r="Q82" s="66">
        <f>R82+T82</f>
        <v>222.4</v>
      </c>
      <c r="R82" s="62"/>
      <c r="S82" s="63"/>
      <c r="T82" s="245">
        <f>222.4</f>
        <v>222.4</v>
      </c>
      <c r="U82" s="96"/>
      <c r="V82" s="95"/>
      <c r="W82" s="95"/>
      <c r="X82" s="107"/>
    </row>
    <row r="83" spans="1:38" ht="18.75" customHeight="1" thickBot="1" x14ac:dyDescent="0.25">
      <c r="A83" s="559"/>
      <c r="B83" s="561"/>
      <c r="C83" s="562"/>
      <c r="D83" s="563"/>
      <c r="E83" s="703"/>
      <c r="F83" s="541" t="s">
        <v>11</v>
      </c>
      <c r="G83" s="542"/>
      <c r="H83" s="543"/>
      <c r="I83" s="103">
        <f t="shared" ref="I83" si="65">SUM(J83,L83)</f>
        <v>181.20000000000002</v>
      </c>
      <c r="J83" s="104">
        <f>SUM(J80:J82)</f>
        <v>5.9</v>
      </c>
      <c r="K83" s="104">
        <f>SUM(K80:K82)</f>
        <v>5.5</v>
      </c>
      <c r="L83" s="108">
        <f>SUM(L80:L82)</f>
        <v>175.3</v>
      </c>
      <c r="M83" s="103">
        <f t="shared" ref="M83" si="66">SUM(N83,P83)</f>
        <v>19.5</v>
      </c>
      <c r="N83" s="104">
        <f>SUM(N80:N82)</f>
        <v>6.1</v>
      </c>
      <c r="O83" s="104">
        <f>SUM(O80:O82)</f>
        <v>6</v>
      </c>
      <c r="P83" s="108">
        <f>SUM(P80:P82)</f>
        <v>13.399999999999999</v>
      </c>
      <c r="Q83" s="103">
        <f t="shared" ref="Q83" si="67">SUM(R83,T83)</f>
        <v>413.9</v>
      </c>
      <c r="R83" s="104">
        <f>SUM(R80:R82)</f>
        <v>3.9</v>
      </c>
      <c r="S83" s="104">
        <f>SUM(S80:S82)</f>
        <v>0</v>
      </c>
      <c r="T83" s="5">
        <f>SUM(T80:T82)</f>
        <v>410</v>
      </c>
      <c r="U83" s="7">
        <f t="shared" ref="U83" si="68">SUM(V83,X83)</f>
        <v>0</v>
      </c>
      <c r="V83" s="104">
        <f>SUM(V80:V82)</f>
        <v>0</v>
      </c>
      <c r="W83" s="104">
        <f>SUM(W80:W82)</f>
        <v>0</v>
      </c>
      <c r="X83" s="108">
        <f>SUM(X80:X82)</f>
        <v>0</v>
      </c>
    </row>
    <row r="84" spans="1:38" ht="24.75" customHeight="1" x14ac:dyDescent="0.2">
      <c r="A84" s="558">
        <v>2</v>
      </c>
      <c r="B84" s="670">
        <v>2</v>
      </c>
      <c r="C84" s="536">
        <v>5</v>
      </c>
      <c r="D84" s="538" t="s">
        <v>98</v>
      </c>
      <c r="E84" s="540" t="s">
        <v>31</v>
      </c>
      <c r="F84" s="544" t="s">
        <v>20</v>
      </c>
      <c r="G84" s="654" t="s">
        <v>90</v>
      </c>
      <c r="H84" s="122" t="s">
        <v>80</v>
      </c>
      <c r="I84" s="133"/>
      <c r="J84" s="129"/>
      <c r="K84" s="129"/>
      <c r="L84" s="134"/>
      <c r="M84" s="105">
        <f>N84+P84</f>
        <v>31</v>
      </c>
      <c r="N84" s="106">
        <v>31</v>
      </c>
      <c r="O84" s="106"/>
      <c r="P84" s="12"/>
      <c r="Q84" s="105">
        <v>38</v>
      </c>
      <c r="R84" s="106">
        <v>38</v>
      </c>
      <c r="S84" s="106"/>
      <c r="T84" s="12"/>
      <c r="U84" s="294">
        <v>38</v>
      </c>
      <c r="V84" s="9">
        <v>38</v>
      </c>
      <c r="W84" s="9"/>
      <c r="X84" s="27"/>
    </row>
    <row r="85" spans="1:38" ht="24.75" customHeight="1" thickBot="1" x14ac:dyDescent="0.25">
      <c r="A85" s="694"/>
      <c r="B85" s="695"/>
      <c r="C85" s="525"/>
      <c r="D85" s="714"/>
      <c r="E85" s="716"/>
      <c r="F85" s="545"/>
      <c r="G85" s="656"/>
      <c r="H85" s="74" t="s">
        <v>14</v>
      </c>
      <c r="I85" s="136">
        <f>J85+L85</f>
        <v>33.1</v>
      </c>
      <c r="J85" s="137">
        <v>33.1</v>
      </c>
      <c r="K85" s="137"/>
      <c r="L85" s="138"/>
      <c r="M85" s="60">
        <f>N85+P85</f>
        <v>31</v>
      </c>
      <c r="N85" s="114">
        <v>31</v>
      </c>
      <c r="O85" s="114"/>
      <c r="P85" s="61"/>
      <c r="Q85" s="60"/>
      <c r="R85" s="114"/>
      <c r="S85" s="114"/>
      <c r="T85" s="61"/>
      <c r="U85" s="295"/>
      <c r="V85" s="149"/>
      <c r="W85" s="149"/>
      <c r="X85" s="150"/>
    </row>
    <row r="86" spans="1:38" ht="15.75" customHeight="1" thickBot="1" x14ac:dyDescent="0.25">
      <c r="A86" s="559"/>
      <c r="B86" s="671"/>
      <c r="C86" s="525"/>
      <c r="D86" s="714"/>
      <c r="E86" s="716"/>
      <c r="F86" s="541" t="s">
        <v>11</v>
      </c>
      <c r="G86" s="542"/>
      <c r="H86" s="543"/>
      <c r="I86" s="67">
        <f>SUM(I84:I85)</f>
        <v>33.1</v>
      </c>
      <c r="J86" s="125">
        <f>J85+J84</f>
        <v>33.1</v>
      </c>
      <c r="K86" s="125"/>
      <c r="L86" s="68">
        <f>SUM(L84:L85)</f>
        <v>0</v>
      </c>
      <c r="M86" s="103">
        <f>N86+P86</f>
        <v>62</v>
      </c>
      <c r="N86" s="5">
        <f>N84+N85</f>
        <v>62</v>
      </c>
      <c r="O86" s="5"/>
      <c r="P86" s="108">
        <f>P84</f>
        <v>0</v>
      </c>
      <c r="Q86" s="103">
        <f>Q84</f>
        <v>38</v>
      </c>
      <c r="R86" s="5">
        <f>R84+R85</f>
        <v>38</v>
      </c>
      <c r="S86" s="5"/>
      <c r="T86" s="108">
        <f>T84</f>
        <v>0</v>
      </c>
      <c r="U86" s="296">
        <f>U84</f>
        <v>38</v>
      </c>
      <c r="V86" s="104">
        <f>V84+V85</f>
        <v>38</v>
      </c>
      <c r="W86" s="104"/>
      <c r="X86" s="108">
        <f>X84</f>
        <v>0</v>
      </c>
    </row>
    <row r="87" spans="1:38" ht="24.75" customHeight="1" thickBot="1" x14ac:dyDescent="0.25">
      <c r="A87" s="534">
        <v>2</v>
      </c>
      <c r="B87" s="535">
        <v>2</v>
      </c>
      <c r="C87" s="536">
        <v>6</v>
      </c>
      <c r="D87" s="537" t="s">
        <v>166</v>
      </c>
      <c r="E87" s="539" t="s">
        <v>160</v>
      </c>
      <c r="F87" s="472" t="s">
        <v>20</v>
      </c>
      <c r="G87" s="463" t="s">
        <v>161</v>
      </c>
      <c r="H87" s="473" t="s">
        <v>102</v>
      </c>
      <c r="I87" s="177"/>
      <c r="J87" s="179"/>
      <c r="K87" s="179">
        <v>0</v>
      </c>
      <c r="L87" s="193">
        <v>0</v>
      </c>
      <c r="M87" s="177">
        <v>400</v>
      </c>
      <c r="N87" s="179"/>
      <c r="O87" s="179"/>
      <c r="P87" s="193">
        <v>400</v>
      </c>
      <c r="Q87" s="177"/>
      <c r="R87" s="179"/>
      <c r="S87" s="179"/>
      <c r="T87" s="159">
        <v>0</v>
      </c>
      <c r="U87" s="304"/>
      <c r="V87" s="219"/>
      <c r="W87" s="219"/>
      <c r="X87" s="301">
        <v>0</v>
      </c>
      <c r="Y87" s="462"/>
    </row>
    <row r="88" spans="1:38" ht="23.25" customHeight="1" thickBot="1" x14ac:dyDescent="0.25">
      <c r="A88" s="534"/>
      <c r="B88" s="535"/>
      <c r="C88" s="524"/>
      <c r="D88" s="538"/>
      <c r="E88" s="540"/>
      <c r="F88" s="541" t="s">
        <v>11</v>
      </c>
      <c r="G88" s="542"/>
      <c r="H88" s="543"/>
      <c r="I88" s="18">
        <f t="shared" ref="I88" si="69">SUM(J88,L88)</f>
        <v>0</v>
      </c>
      <c r="J88" s="19">
        <f>SUM(J87:J87)</f>
        <v>0</v>
      </c>
      <c r="K88" s="19">
        <f>SUM(K87:K87)</f>
        <v>0</v>
      </c>
      <c r="L88" s="20">
        <f>SUM(L87:L87)</f>
        <v>0</v>
      </c>
      <c r="M88" s="18">
        <f t="shared" ref="M88" si="70">SUM(N88,P88)</f>
        <v>400</v>
      </c>
      <c r="N88" s="19">
        <f>SUM(N87:N87)</f>
        <v>0</v>
      </c>
      <c r="O88" s="19"/>
      <c r="P88" s="20">
        <f>SUM(P87:P87)</f>
        <v>400</v>
      </c>
      <c r="Q88" s="18">
        <f t="shared" ref="Q88" si="71">SUM(R88,T88)</f>
        <v>0</v>
      </c>
      <c r="R88" s="19">
        <f>SUM(R87:R87)</f>
        <v>0</v>
      </c>
      <c r="S88" s="19"/>
      <c r="T88" s="20">
        <f>SUM(T87:T87)</f>
        <v>0</v>
      </c>
      <c r="U88" s="297">
        <f t="shared" ref="U88" si="72">SUM(V88,X88)</f>
        <v>0</v>
      </c>
      <c r="V88" s="19">
        <f>SUM(V87:V87)</f>
        <v>0</v>
      </c>
      <c r="W88" s="19"/>
      <c r="X88" s="20">
        <f>SUM(X87:X87)</f>
        <v>0</v>
      </c>
      <c r="Y88" s="462"/>
    </row>
    <row r="89" spans="1:38" ht="24.75" customHeight="1" thickBot="1" x14ac:dyDescent="0.25">
      <c r="A89" s="534">
        <v>2</v>
      </c>
      <c r="B89" s="535">
        <v>2</v>
      </c>
      <c r="C89" s="536">
        <v>7</v>
      </c>
      <c r="D89" s="537" t="s">
        <v>165</v>
      </c>
      <c r="E89" s="539" t="s">
        <v>31</v>
      </c>
      <c r="F89" s="472" t="s">
        <v>20</v>
      </c>
      <c r="G89" s="501" t="s">
        <v>164</v>
      </c>
      <c r="H89" s="473" t="s">
        <v>80</v>
      </c>
      <c r="I89" s="177"/>
      <c r="J89" s="179"/>
      <c r="K89" s="179">
        <v>0</v>
      </c>
      <c r="L89" s="193">
        <v>0</v>
      </c>
      <c r="M89" s="177">
        <f>N89+P89</f>
        <v>7.6</v>
      </c>
      <c r="N89" s="179"/>
      <c r="O89" s="179"/>
      <c r="P89" s="193">
        <f>3.8+3.8</f>
        <v>7.6</v>
      </c>
      <c r="Q89" s="177"/>
      <c r="R89" s="179"/>
      <c r="S89" s="179"/>
      <c r="T89" s="159">
        <v>0</v>
      </c>
      <c r="U89" s="304"/>
      <c r="V89" s="219"/>
      <c r="W89" s="219"/>
      <c r="X89" s="301">
        <v>0</v>
      </c>
      <c r="Y89" s="500"/>
    </row>
    <row r="90" spans="1:38" ht="23.25" customHeight="1" thickBot="1" x14ac:dyDescent="0.25">
      <c r="A90" s="534"/>
      <c r="B90" s="535"/>
      <c r="C90" s="524"/>
      <c r="D90" s="538"/>
      <c r="E90" s="540"/>
      <c r="F90" s="541" t="s">
        <v>11</v>
      </c>
      <c r="G90" s="542"/>
      <c r="H90" s="543"/>
      <c r="I90" s="18">
        <f t="shared" ref="I90" si="73">SUM(J90,L90)</f>
        <v>0</v>
      </c>
      <c r="J90" s="19">
        <f>SUM(J89:J89)</f>
        <v>0</v>
      </c>
      <c r="K90" s="19">
        <f>SUM(K89:K89)</f>
        <v>0</v>
      </c>
      <c r="L90" s="20">
        <f>SUM(L89:L89)</f>
        <v>0</v>
      </c>
      <c r="M90" s="18">
        <f t="shared" ref="M90" si="74">SUM(N90,P90)</f>
        <v>7.6</v>
      </c>
      <c r="N90" s="19">
        <f>SUM(N89:N89)</f>
        <v>0</v>
      </c>
      <c r="O90" s="19"/>
      <c r="P90" s="20">
        <f>SUM(P89:P89)</f>
        <v>7.6</v>
      </c>
      <c r="Q90" s="18">
        <f t="shared" ref="Q90" si="75">SUM(R90,T90)</f>
        <v>0</v>
      </c>
      <c r="R90" s="19">
        <f>SUM(R89:R89)</f>
        <v>0</v>
      </c>
      <c r="S90" s="19"/>
      <c r="T90" s="20">
        <f>SUM(T89:T89)</f>
        <v>0</v>
      </c>
      <c r="U90" s="297">
        <f t="shared" ref="U90" si="76">SUM(V90,X90)</f>
        <v>0</v>
      </c>
      <c r="V90" s="19">
        <f>SUM(V89:V89)</f>
        <v>0</v>
      </c>
      <c r="W90" s="19"/>
      <c r="X90" s="20">
        <f>SUM(X89:X89)</f>
        <v>0</v>
      </c>
      <c r="Y90" s="500"/>
    </row>
    <row r="91" spans="1:38" ht="12.75" customHeight="1" thickBot="1" x14ac:dyDescent="0.25">
      <c r="A91" s="83">
        <v>2</v>
      </c>
      <c r="B91" s="84">
        <v>2</v>
      </c>
      <c r="C91" s="722" t="s">
        <v>9</v>
      </c>
      <c r="D91" s="723"/>
      <c r="E91" s="723"/>
      <c r="F91" s="723"/>
      <c r="G91" s="723"/>
      <c r="H91" s="724"/>
      <c r="I91" s="37">
        <f>J91+L91</f>
        <v>2436.4</v>
      </c>
      <c r="J91" s="38">
        <f>J86+J83+J79+J77+J75</f>
        <v>2261.1</v>
      </c>
      <c r="K91" s="38">
        <f>K86+K83+K79+K77+K75</f>
        <v>5.5</v>
      </c>
      <c r="L91" s="38">
        <f>L86+L83+L79+L77+L75</f>
        <v>175.3</v>
      </c>
      <c r="M91" s="37">
        <f>N91+P91</f>
        <v>2893.4</v>
      </c>
      <c r="N91" s="38">
        <f>N86+N83+N79+N77+N75+N88+N90</f>
        <v>2422.4</v>
      </c>
      <c r="O91" s="38">
        <f t="shared" ref="O91:P91" si="77">O86+O83+O79+O77+O75+O88+O90</f>
        <v>6</v>
      </c>
      <c r="P91" s="38">
        <f t="shared" si="77"/>
        <v>471</v>
      </c>
      <c r="Q91" s="37">
        <f>R91+T91</f>
        <v>2456.9</v>
      </c>
      <c r="R91" s="38">
        <f>R86+R83+R79+R77+R75</f>
        <v>2046.9</v>
      </c>
      <c r="S91" s="38">
        <f>S86+S83+S79+S77+S75</f>
        <v>0</v>
      </c>
      <c r="T91" s="38">
        <f>T86+T83+T79+T77+T75</f>
        <v>410</v>
      </c>
      <c r="U91" s="37">
        <f>V91+X91</f>
        <v>2043</v>
      </c>
      <c r="V91" s="38">
        <f>V86+V83+V79+V77+V75</f>
        <v>2043</v>
      </c>
      <c r="W91" s="38">
        <f>W86+W83+W79+W77+W75</f>
        <v>0</v>
      </c>
      <c r="X91" s="38">
        <f>X86+X83+X79+X77+X75</f>
        <v>0</v>
      </c>
      <c r="Y91" s="338"/>
    </row>
    <row r="92" spans="1:38" ht="20.25" customHeight="1" thickBot="1" x14ac:dyDescent="0.25">
      <c r="A92" s="266">
        <v>2</v>
      </c>
      <c r="B92" s="85">
        <v>3</v>
      </c>
      <c r="C92" s="564" t="s">
        <v>95</v>
      </c>
      <c r="D92" s="565"/>
      <c r="E92" s="565"/>
      <c r="F92" s="565"/>
      <c r="G92" s="565"/>
      <c r="H92" s="565"/>
      <c r="I92" s="565"/>
      <c r="J92" s="565"/>
      <c r="K92" s="565"/>
      <c r="L92" s="565"/>
      <c r="M92" s="565"/>
      <c r="N92" s="565"/>
      <c r="O92" s="565"/>
      <c r="P92" s="565"/>
      <c r="Q92" s="565"/>
      <c r="R92" s="565"/>
      <c r="S92" s="565"/>
      <c r="T92" s="566"/>
      <c r="U92" s="337"/>
      <c r="V92" s="220"/>
      <c r="W92" s="220"/>
      <c r="X92" s="305"/>
    </row>
    <row r="93" spans="1:38" ht="22.5" customHeight="1" thickBot="1" x14ac:dyDescent="0.25">
      <c r="A93" s="558">
        <v>2</v>
      </c>
      <c r="B93" s="560">
        <v>3</v>
      </c>
      <c r="C93" s="524">
        <v>1</v>
      </c>
      <c r="D93" s="538" t="s">
        <v>74</v>
      </c>
      <c r="E93" s="540" t="s">
        <v>73</v>
      </c>
      <c r="F93" s="265" t="s">
        <v>71</v>
      </c>
      <c r="G93" s="126" t="s">
        <v>88</v>
      </c>
      <c r="H93" s="255" t="s">
        <v>14</v>
      </c>
      <c r="I93" s="28">
        <f t="shared" ref="I93:I94" si="78">SUM(J93,L93)</f>
        <v>10</v>
      </c>
      <c r="J93" s="40"/>
      <c r="K93" s="41">
        <v>0</v>
      </c>
      <c r="L93" s="42">
        <v>10</v>
      </c>
      <c r="M93" s="28">
        <f t="shared" ref="M93:M94" si="79">SUM(N93,P93)</f>
        <v>0</v>
      </c>
      <c r="N93" s="40"/>
      <c r="O93" s="41">
        <v>0</v>
      </c>
      <c r="P93" s="42"/>
      <c r="Q93" s="28">
        <f t="shared" ref="Q93:Q96" si="80">SUM(R93,T93)</f>
        <v>0</v>
      </c>
      <c r="R93" s="40"/>
      <c r="S93" s="41">
        <v>0</v>
      </c>
      <c r="T93" s="42"/>
      <c r="U93" s="41">
        <f t="shared" ref="U93:U96" si="81">SUM(V93,X93)</f>
        <v>0</v>
      </c>
      <c r="V93" s="40"/>
      <c r="W93" s="40">
        <v>0</v>
      </c>
      <c r="X93" s="30"/>
    </row>
    <row r="94" spans="1:38" ht="24" customHeight="1" thickBot="1" x14ac:dyDescent="0.25">
      <c r="A94" s="559"/>
      <c r="B94" s="561"/>
      <c r="C94" s="562"/>
      <c r="D94" s="563"/>
      <c r="E94" s="703"/>
      <c r="F94" s="541" t="s">
        <v>11</v>
      </c>
      <c r="G94" s="542"/>
      <c r="H94" s="543"/>
      <c r="I94" s="103">
        <f t="shared" si="78"/>
        <v>10</v>
      </c>
      <c r="J94" s="104">
        <f>SUM(J93)</f>
        <v>0</v>
      </c>
      <c r="K94" s="104">
        <f>SUM(K93)</f>
        <v>0</v>
      </c>
      <c r="L94" s="108">
        <f>SUM(L93)</f>
        <v>10</v>
      </c>
      <c r="M94" s="103">
        <f t="shared" si="79"/>
        <v>0</v>
      </c>
      <c r="N94" s="104">
        <f>SUM(N93)</f>
        <v>0</v>
      </c>
      <c r="O94" s="104">
        <f>SUM(O93)</f>
        <v>0</v>
      </c>
      <c r="P94" s="108">
        <f>SUM(P93)</f>
        <v>0</v>
      </c>
      <c r="Q94" s="103">
        <f t="shared" si="80"/>
        <v>0</v>
      </c>
      <c r="R94" s="104">
        <f>SUM(R93)</f>
        <v>0</v>
      </c>
      <c r="S94" s="104">
        <f>SUM(S93)</f>
        <v>0</v>
      </c>
      <c r="T94" s="108">
        <f>SUM(T93)</f>
        <v>0</v>
      </c>
      <c r="U94" s="296">
        <f t="shared" si="81"/>
        <v>0</v>
      </c>
      <c r="V94" s="104">
        <f>SUM(V93)</f>
        <v>0</v>
      </c>
      <c r="W94" s="104">
        <f>SUM(W93)</f>
        <v>0</v>
      </c>
      <c r="X94" s="108">
        <f>SUM(X93)</f>
        <v>0</v>
      </c>
    </row>
    <row r="95" spans="1:38" ht="23.25" customHeight="1" thickBot="1" x14ac:dyDescent="0.25">
      <c r="A95" s="558">
        <v>2</v>
      </c>
      <c r="B95" s="560">
        <v>3</v>
      </c>
      <c r="C95" s="524">
        <v>2</v>
      </c>
      <c r="D95" s="538" t="s">
        <v>92</v>
      </c>
      <c r="E95" s="540" t="s">
        <v>73</v>
      </c>
      <c r="F95" s="264" t="s">
        <v>78</v>
      </c>
      <c r="G95" s="264" t="s">
        <v>93</v>
      </c>
      <c r="H95" s="116" t="s">
        <v>14</v>
      </c>
      <c r="I95" s="109">
        <f t="shared" ref="I95:I96" si="82">SUM(J95,L95)</f>
        <v>8.5</v>
      </c>
      <c r="J95" s="106"/>
      <c r="K95" s="111">
        <v>0</v>
      </c>
      <c r="L95" s="110">
        <v>8.5</v>
      </c>
      <c r="M95" s="109">
        <f t="shared" ref="M95:M96" si="83">SUM(N95,P95)</f>
        <v>0</v>
      </c>
      <c r="N95" s="106"/>
      <c r="O95" s="111">
        <v>0</v>
      </c>
      <c r="P95" s="110"/>
      <c r="Q95" s="109">
        <f t="shared" si="80"/>
        <v>0</v>
      </c>
      <c r="R95" s="106"/>
      <c r="S95" s="111">
        <v>0</v>
      </c>
      <c r="T95" s="110"/>
      <c r="U95" s="63">
        <f t="shared" si="81"/>
        <v>0</v>
      </c>
      <c r="V95" s="62"/>
      <c r="W95" s="62">
        <v>0</v>
      </c>
      <c r="X95" s="245"/>
      <c r="Z95" s="279"/>
      <c r="AA95" s="279"/>
      <c r="AB95" s="279"/>
      <c r="AC95" s="279"/>
      <c r="AD95" s="279"/>
      <c r="AE95" s="279"/>
      <c r="AF95" s="279"/>
      <c r="AG95" s="279"/>
      <c r="AH95" s="279"/>
      <c r="AI95" s="279"/>
      <c r="AJ95" s="279"/>
      <c r="AK95" s="279"/>
      <c r="AL95" s="279"/>
    </row>
    <row r="96" spans="1:38" ht="20.25" customHeight="1" thickBot="1" x14ac:dyDescent="0.25">
      <c r="A96" s="559"/>
      <c r="B96" s="561"/>
      <c r="C96" s="562"/>
      <c r="D96" s="563"/>
      <c r="E96" s="703"/>
      <c r="F96" s="541" t="s">
        <v>11</v>
      </c>
      <c r="G96" s="542"/>
      <c r="H96" s="543"/>
      <c r="I96" s="103">
        <f t="shared" si="82"/>
        <v>8.5</v>
      </c>
      <c r="J96" s="104">
        <f>SUM(J95:J95)</f>
        <v>0</v>
      </c>
      <c r="K96" s="104">
        <f>SUM(K95:K95)</f>
        <v>0</v>
      </c>
      <c r="L96" s="108">
        <f>SUM(L95:L95)</f>
        <v>8.5</v>
      </c>
      <c r="M96" s="103">
        <f t="shared" si="83"/>
        <v>0</v>
      </c>
      <c r="N96" s="104">
        <f>SUM(N95:N95)</f>
        <v>0</v>
      </c>
      <c r="O96" s="104">
        <f>SUM(O95:O95)</f>
        <v>0</v>
      </c>
      <c r="P96" s="108">
        <f>SUM(P95:P95)</f>
        <v>0</v>
      </c>
      <c r="Q96" s="103">
        <f t="shared" si="80"/>
        <v>0</v>
      </c>
      <c r="R96" s="104">
        <f>SUM(R95:R95)</f>
        <v>0</v>
      </c>
      <c r="S96" s="104">
        <f>SUM(S95:S95)</f>
        <v>0</v>
      </c>
      <c r="T96" s="108">
        <f>SUM(T95:T95)</f>
        <v>0</v>
      </c>
      <c r="U96" s="296">
        <f t="shared" si="81"/>
        <v>0</v>
      </c>
      <c r="V96" s="104">
        <f>SUM(V95:V95)</f>
        <v>0</v>
      </c>
      <c r="W96" s="104">
        <f>SUM(W95:W95)</f>
        <v>0</v>
      </c>
      <c r="X96" s="108">
        <f>SUM(X95:X95)</f>
        <v>0</v>
      </c>
      <c r="Z96" s="279"/>
      <c r="AA96" s="279"/>
      <c r="AB96" s="279"/>
      <c r="AC96" s="279"/>
      <c r="AD96" s="279"/>
      <c r="AE96" s="279"/>
      <c r="AF96" s="279"/>
      <c r="AG96" s="279"/>
      <c r="AH96" s="279"/>
      <c r="AI96" s="279"/>
      <c r="AJ96" s="279"/>
      <c r="AK96" s="279"/>
      <c r="AL96" s="279"/>
    </row>
    <row r="97" spans="1:38" ht="19.5" customHeight="1" thickBot="1" x14ac:dyDescent="0.25">
      <c r="A97" s="78">
        <v>2</v>
      </c>
      <c r="B97" s="86">
        <v>3</v>
      </c>
      <c r="C97" s="719" t="s">
        <v>9</v>
      </c>
      <c r="D97" s="720"/>
      <c r="E97" s="720"/>
      <c r="F97" s="720"/>
      <c r="G97" s="720"/>
      <c r="H97" s="721"/>
      <c r="I97" s="57">
        <f>J97+L97</f>
        <v>18.5</v>
      </c>
      <c r="J97" s="113"/>
      <c r="K97" s="113"/>
      <c r="L97" s="113">
        <f>SUM(L94+L96)</f>
        <v>18.5</v>
      </c>
      <c r="M97" s="57"/>
      <c r="N97" s="113"/>
      <c r="O97" s="113"/>
      <c r="P97" s="130"/>
      <c r="Q97" s="57"/>
      <c r="R97" s="113"/>
      <c r="S97" s="113"/>
      <c r="T97" s="130"/>
      <c r="U97" s="113"/>
      <c r="V97" s="31"/>
      <c r="W97" s="31"/>
      <c r="X97" s="32"/>
      <c r="Z97" s="279"/>
      <c r="AA97" s="279"/>
      <c r="AB97" s="279"/>
      <c r="AC97" s="279"/>
      <c r="AD97" s="279"/>
      <c r="AE97" s="279"/>
      <c r="AF97" s="279"/>
      <c r="AG97" s="279"/>
      <c r="AH97" s="279"/>
      <c r="AI97" s="279"/>
      <c r="AJ97" s="279"/>
      <c r="AK97" s="279"/>
      <c r="AL97" s="279"/>
    </row>
    <row r="98" spans="1:38" ht="18" customHeight="1" thickBot="1" x14ac:dyDescent="0.25">
      <c r="A98" s="83">
        <v>2</v>
      </c>
      <c r="B98" s="87">
        <v>4</v>
      </c>
      <c r="C98" s="567" t="s">
        <v>24</v>
      </c>
      <c r="D98" s="568"/>
      <c r="E98" s="568"/>
      <c r="F98" s="568"/>
      <c r="G98" s="568"/>
      <c r="H98" s="568"/>
      <c r="I98" s="568"/>
      <c r="J98" s="568"/>
      <c r="K98" s="568"/>
      <c r="L98" s="568"/>
      <c r="M98" s="568"/>
      <c r="N98" s="568"/>
      <c r="O98" s="568"/>
      <c r="P98" s="568"/>
      <c r="Q98" s="568"/>
      <c r="R98" s="568"/>
      <c r="S98" s="568"/>
      <c r="T98" s="568"/>
      <c r="U98" s="568"/>
      <c r="V98" s="568"/>
      <c r="W98" s="568"/>
      <c r="X98" s="569"/>
      <c r="Z98" s="279"/>
      <c r="AA98" s="279"/>
      <c r="AB98" s="279"/>
      <c r="AC98" s="279"/>
      <c r="AD98" s="279"/>
      <c r="AE98" s="279"/>
      <c r="AF98" s="279"/>
      <c r="AG98" s="279"/>
      <c r="AH98" s="279"/>
      <c r="AI98" s="279"/>
      <c r="AJ98" s="279"/>
      <c r="AK98" s="279"/>
      <c r="AL98" s="279"/>
    </row>
    <row r="99" spans="1:38" ht="24" customHeight="1" thickBot="1" x14ac:dyDescent="0.25">
      <c r="A99" s="667">
        <v>2</v>
      </c>
      <c r="B99" s="579">
        <v>4</v>
      </c>
      <c r="C99" s="668">
        <v>1</v>
      </c>
      <c r="D99" s="725" t="s">
        <v>25</v>
      </c>
      <c r="E99" s="669">
        <v>19</v>
      </c>
      <c r="F99" s="253" t="s">
        <v>20</v>
      </c>
      <c r="G99" s="253" t="s">
        <v>39</v>
      </c>
      <c r="H99" s="221" t="s">
        <v>14</v>
      </c>
      <c r="I99" s="222">
        <f>SUM(J99,L99)</f>
        <v>30.8</v>
      </c>
      <c r="J99" s="223">
        <v>30.8</v>
      </c>
      <c r="K99" s="218">
        <v>21.7</v>
      </c>
      <c r="L99" s="224">
        <v>0</v>
      </c>
      <c r="M99" s="188">
        <f>N99+P99</f>
        <v>46.7</v>
      </c>
      <c r="N99" s="225">
        <f>30.2+3+2.5</f>
        <v>35.700000000000003</v>
      </c>
      <c r="O99" s="218">
        <f>23+2.5</f>
        <v>25.5</v>
      </c>
      <c r="P99" s="224">
        <v>11</v>
      </c>
      <c r="Q99" s="188">
        <f>R99+T99</f>
        <v>41.2</v>
      </c>
      <c r="R99" s="225">
        <v>41.2</v>
      </c>
      <c r="S99" s="218">
        <v>23</v>
      </c>
      <c r="T99" s="226">
        <v>0</v>
      </c>
      <c r="U99" s="227">
        <f>V99+X99</f>
        <v>41.2</v>
      </c>
      <c r="V99" s="225">
        <v>41.2</v>
      </c>
      <c r="W99" s="218">
        <v>23</v>
      </c>
      <c r="X99" s="229">
        <v>0</v>
      </c>
      <c r="Z99" s="279"/>
      <c r="AA99" s="279"/>
      <c r="AB99" s="279"/>
      <c r="AC99" s="279"/>
      <c r="AD99" s="279"/>
      <c r="AE99" s="279"/>
      <c r="AF99" s="279"/>
      <c r="AG99" s="279"/>
      <c r="AH99" s="279"/>
      <c r="AI99" s="279"/>
      <c r="AJ99" s="279"/>
      <c r="AK99" s="279"/>
      <c r="AL99" s="279"/>
    </row>
    <row r="100" spans="1:38" ht="22.5" customHeight="1" thickBot="1" x14ac:dyDescent="0.25">
      <c r="A100" s="667"/>
      <c r="B100" s="579"/>
      <c r="C100" s="577"/>
      <c r="D100" s="578"/>
      <c r="E100" s="576"/>
      <c r="F100" s="580" t="s">
        <v>11</v>
      </c>
      <c r="G100" s="581"/>
      <c r="H100" s="582"/>
      <c r="I100" s="18">
        <f>SUM(J100,L100)</f>
        <v>30.8</v>
      </c>
      <c r="J100" s="19">
        <f>SUM(J99:J99)</f>
        <v>30.8</v>
      </c>
      <c r="K100" s="19">
        <f>SUM(K99:K99)</f>
        <v>21.7</v>
      </c>
      <c r="L100" s="20">
        <f>SUM(L99:L99)</f>
        <v>0</v>
      </c>
      <c r="M100" s="18">
        <f>SUM(N100,P100)</f>
        <v>46.7</v>
      </c>
      <c r="N100" s="19">
        <f>SUM(N99:N99)</f>
        <v>35.700000000000003</v>
      </c>
      <c r="O100" s="19">
        <f>SUM(O99:O99)</f>
        <v>25.5</v>
      </c>
      <c r="P100" s="20">
        <f>SUM(P99:P99)</f>
        <v>11</v>
      </c>
      <c r="Q100" s="18">
        <f>SUM(R100,T100)</f>
        <v>41.2</v>
      </c>
      <c r="R100" s="19">
        <f>SUM(R99:R99)</f>
        <v>41.2</v>
      </c>
      <c r="S100" s="19">
        <f>SUM(S99:S99)</f>
        <v>23</v>
      </c>
      <c r="T100" s="33">
        <f>SUM(T99:T99)</f>
        <v>0</v>
      </c>
      <c r="U100" s="216">
        <f>SUM(V100,X100)</f>
        <v>41.2</v>
      </c>
      <c r="V100" s="19">
        <f>SUM(V99:V99)</f>
        <v>41.2</v>
      </c>
      <c r="W100" s="19">
        <f>SUM(W99:W99)</f>
        <v>23</v>
      </c>
      <c r="X100" s="20">
        <f>SUM(X99:X99)</f>
        <v>0</v>
      </c>
      <c r="Z100" s="279"/>
      <c r="AA100" s="279"/>
      <c r="AB100" s="279"/>
      <c r="AC100" s="279"/>
      <c r="AD100" s="279"/>
      <c r="AE100" s="279"/>
      <c r="AF100" s="279"/>
      <c r="AG100" s="279"/>
      <c r="AH100" s="279"/>
      <c r="AI100" s="279"/>
      <c r="AJ100" s="279"/>
      <c r="AK100" s="279"/>
      <c r="AL100" s="279"/>
    </row>
    <row r="101" spans="1:38" ht="21.75" customHeight="1" thickBot="1" x14ac:dyDescent="0.25">
      <c r="A101" s="570">
        <v>2</v>
      </c>
      <c r="B101" s="579">
        <v>4</v>
      </c>
      <c r="C101" s="577">
        <v>2</v>
      </c>
      <c r="D101" s="578" t="s">
        <v>63</v>
      </c>
      <c r="E101" s="576">
        <v>20</v>
      </c>
      <c r="F101" s="252" t="s">
        <v>20</v>
      </c>
      <c r="G101" s="260" t="s">
        <v>40</v>
      </c>
      <c r="H101" s="88" t="s">
        <v>14</v>
      </c>
      <c r="I101" s="43">
        <f>J101+L101</f>
        <v>46.2</v>
      </c>
      <c r="J101" s="46">
        <v>46.2</v>
      </c>
      <c r="K101" s="46">
        <v>31.2</v>
      </c>
      <c r="L101" s="47">
        <v>0</v>
      </c>
      <c r="M101" s="43">
        <f>N101+P101</f>
        <v>63.8</v>
      </c>
      <c r="N101" s="46">
        <f>52.5+4.3+0.3+3</f>
        <v>60.099999999999994</v>
      </c>
      <c r="O101" s="46">
        <v>33.299999999999997</v>
      </c>
      <c r="P101" s="47">
        <f>4-0.3</f>
        <v>3.7</v>
      </c>
      <c r="Q101" s="43">
        <f>R101+T101</f>
        <v>52.5</v>
      </c>
      <c r="R101" s="46">
        <v>52.5</v>
      </c>
      <c r="S101" s="46">
        <v>33.299999999999997</v>
      </c>
      <c r="T101" s="208">
        <v>0</v>
      </c>
      <c r="U101" s="230">
        <f>V101+X101</f>
        <v>52.5</v>
      </c>
      <c r="V101" s="46">
        <v>52.5</v>
      </c>
      <c r="W101" s="46">
        <v>33.299999999999997</v>
      </c>
      <c r="X101" s="231">
        <v>0</v>
      </c>
      <c r="Z101" s="279"/>
      <c r="AA101" s="279"/>
      <c r="AB101" s="279"/>
      <c r="AC101" s="279"/>
      <c r="AD101" s="279"/>
      <c r="AE101" s="279"/>
      <c r="AF101" s="279"/>
      <c r="AG101" s="279"/>
      <c r="AH101" s="279"/>
      <c r="AI101" s="279"/>
      <c r="AJ101" s="279"/>
      <c r="AK101" s="279"/>
      <c r="AL101" s="279"/>
    </row>
    <row r="102" spans="1:38" ht="24.75" customHeight="1" thickBot="1" x14ac:dyDescent="0.25">
      <c r="A102" s="570"/>
      <c r="B102" s="579"/>
      <c r="C102" s="577"/>
      <c r="D102" s="578"/>
      <c r="E102" s="576"/>
      <c r="F102" s="580" t="s">
        <v>11</v>
      </c>
      <c r="G102" s="581"/>
      <c r="H102" s="582"/>
      <c r="I102" s="18">
        <f t="shared" ref="I102" si="84">SUM(J102,L102)</f>
        <v>46.2</v>
      </c>
      <c r="J102" s="19">
        <f>SUM(J101:J101)</f>
        <v>46.2</v>
      </c>
      <c r="K102" s="19">
        <f>SUM(K101:K101)</f>
        <v>31.2</v>
      </c>
      <c r="L102" s="20">
        <f>SUM(L101:L101)</f>
        <v>0</v>
      </c>
      <c r="M102" s="18">
        <f t="shared" ref="M102" si="85">SUM(N102,P102)</f>
        <v>63.8</v>
      </c>
      <c r="N102" s="19">
        <f>SUM(N101:N101)</f>
        <v>60.099999999999994</v>
      </c>
      <c r="O102" s="19">
        <f>SUM(O101:O101)</f>
        <v>33.299999999999997</v>
      </c>
      <c r="P102" s="20">
        <f>SUM(P101:P101)</f>
        <v>3.7</v>
      </c>
      <c r="Q102" s="18">
        <f t="shared" ref="Q102" si="86">SUM(R102,T102)</f>
        <v>52.5</v>
      </c>
      <c r="R102" s="19">
        <f>SUM(R101:R101)</f>
        <v>52.5</v>
      </c>
      <c r="S102" s="19">
        <f>SUM(S101:S101)</f>
        <v>33.299999999999997</v>
      </c>
      <c r="T102" s="33">
        <f>SUM(T101:T101)</f>
        <v>0</v>
      </c>
      <c r="U102" s="216">
        <f t="shared" ref="U102" si="87">SUM(V102,X102)</f>
        <v>52.5</v>
      </c>
      <c r="V102" s="19">
        <f>SUM(V101:V101)</f>
        <v>52.5</v>
      </c>
      <c r="W102" s="19">
        <f>SUM(W101:W101)</f>
        <v>33.299999999999997</v>
      </c>
      <c r="X102" s="20">
        <f>SUM(X101:X101)</f>
        <v>0</v>
      </c>
      <c r="Z102" s="279"/>
      <c r="AA102" s="279"/>
      <c r="AB102" s="279"/>
      <c r="AC102" s="279"/>
      <c r="AD102" s="279"/>
      <c r="AE102" s="279"/>
      <c r="AF102" s="279"/>
      <c r="AG102" s="279"/>
      <c r="AH102" s="279"/>
      <c r="AI102" s="279"/>
      <c r="AJ102" s="279"/>
      <c r="AK102" s="279"/>
      <c r="AL102" s="279"/>
    </row>
    <row r="103" spans="1:38" ht="19.5" customHeight="1" thickBot="1" x14ac:dyDescent="0.25">
      <c r="A103" s="570">
        <v>2</v>
      </c>
      <c r="B103" s="579">
        <v>4</v>
      </c>
      <c r="C103" s="577">
        <v>3</v>
      </c>
      <c r="D103" s="578" t="s">
        <v>64</v>
      </c>
      <c r="E103" s="576">
        <v>21</v>
      </c>
      <c r="F103" s="252" t="s">
        <v>20</v>
      </c>
      <c r="G103" s="260" t="s">
        <v>43</v>
      </c>
      <c r="H103" s="88" t="s">
        <v>14</v>
      </c>
      <c r="I103" s="187">
        <f>SUM(J103,L103)</f>
        <v>64.7</v>
      </c>
      <c r="J103" s="153">
        <v>62.6</v>
      </c>
      <c r="K103" s="139">
        <v>45.8</v>
      </c>
      <c r="L103" s="47">
        <v>2.1</v>
      </c>
      <c r="M103" s="43">
        <f>N103+P103</f>
        <v>96.199999999999989</v>
      </c>
      <c r="N103" s="48">
        <f>75.5+2.6</f>
        <v>78.099999999999994</v>
      </c>
      <c r="O103" s="46">
        <f>46.9+2.5</f>
        <v>49.4</v>
      </c>
      <c r="P103" s="47">
        <f>12+5+1.1</f>
        <v>18.100000000000001</v>
      </c>
      <c r="Q103" s="43">
        <f>R103+T103</f>
        <v>75.5</v>
      </c>
      <c r="R103" s="48">
        <v>75.5</v>
      </c>
      <c r="S103" s="46">
        <v>46.9</v>
      </c>
      <c r="T103" s="208">
        <v>0</v>
      </c>
      <c r="U103" s="230">
        <f>V103+X103</f>
        <v>75.5</v>
      </c>
      <c r="V103" s="48">
        <v>75.5</v>
      </c>
      <c r="W103" s="46">
        <v>46.9</v>
      </c>
      <c r="X103" s="231">
        <v>0</v>
      </c>
      <c r="Z103" s="279"/>
      <c r="AA103" s="279"/>
      <c r="AB103" s="279"/>
      <c r="AC103" s="279"/>
      <c r="AD103" s="279"/>
      <c r="AE103" s="279"/>
      <c r="AF103" s="279"/>
      <c r="AG103" s="279"/>
      <c r="AH103" s="279"/>
      <c r="AI103" s="279"/>
      <c r="AJ103" s="279"/>
      <c r="AK103" s="279"/>
      <c r="AL103" s="279"/>
    </row>
    <row r="104" spans="1:38" ht="19.5" customHeight="1" thickBot="1" x14ac:dyDescent="0.25">
      <c r="A104" s="570"/>
      <c r="B104" s="579"/>
      <c r="C104" s="577"/>
      <c r="D104" s="578"/>
      <c r="E104" s="576"/>
      <c r="F104" s="580" t="s">
        <v>11</v>
      </c>
      <c r="G104" s="581"/>
      <c r="H104" s="582"/>
      <c r="I104" s="18">
        <f>SUM(J104,L104)</f>
        <v>64.7</v>
      </c>
      <c r="J104" s="19">
        <f>SUM(J103:J103)</f>
        <v>62.6</v>
      </c>
      <c r="K104" s="19">
        <f>SUM(K103:K103)</f>
        <v>45.8</v>
      </c>
      <c r="L104" s="20">
        <f>SUM(L103:L103)</f>
        <v>2.1</v>
      </c>
      <c r="M104" s="18">
        <f>SUM(N104,P104)</f>
        <v>96.199999999999989</v>
      </c>
      <c r="N104" s="19">
        <f>SUM(N103:N103)</f>
        <v>78.099999999999994</v>
      </c>
      <c r="O104" s="19">
        <f>SUM(O103:O103)</f>
        <v>49.4</v>
      </c>
      <c r="P104" s="20">
        <f>SUM(P103:P103)</f>
        <v>18.100000000000001</v>
      </c>
      <c r="Q104" s="18">
        <f t="shared" ref="Q104" si="88">SUM(R104,T104)</f>
        <v>75.5</v>
      </c>
      <c r="R104" s="19">
        <f>SUM(R103:R103)</f>
        <v>75.5</v>
      </c>
      <c r="S104" s="19">
        <f>SUM(S103:S103)</f>
        <v>46.9</v>
      </c>
      <c r="T104" s="33">
        <f>SUM(T103:T103)</f>
        <v>0</v>
      </c>
      <c r="U104" s="216">
        <f t="shared" ref="U104" si="89">SUM(V104,X104)</f>
        <v>75.5</v>
      </c>
      <c r="V104" s="19">
        <f>SUM(V103:V103)</f>
        <v>75.5</v>
      </c>
      <c r="W104" s="19">
        <f>SUM(W103:W103)</f>
        <v>46.9</v>
      </c>
      <c r="X104" s="20">
        <f>SUM(X103:X103)</f>
        <v>0</v>
      </c>
      <c r="Z104" s="279"/>
      <c r="AA104" s="279"/>
      <c r="AB104" s="279"/>
      <c r="AC104" s="279"/>
      <c r="AD104" s="279"/>
      <c r="AE104" s="279"/>
      <c r="AF104" s="279"/>
      <c r="AG104" s="279"/>
      <c r="AH104" s="279"/>
      <c r="AI104" s="279"/>
      <c r="AJ104" s="279"/>
      <c r="AK104" s="279"/>
      <c r="AL104" s="279"/>
    </row>
    <row r="105" spans="1:38" ht="19.5" customHeight="1" thickBot="1" x14ac:dyDescent="0.25">
      <c r="A105" s="570">
        <v>2</v>
      </c>
      <c r="B105" s="579">
        <v>4</v>
      </c>
      <c r="C105" s="577">
        <v>4</v>
      </c>
      <c r="D105" s="578" t="s">
        <v>65</v>
      </c>
      <c r="E105" s="576">
        <v>22</v>
      </c>
      <c r="F105" s="252" t="s">
        <v>20</v>
      </c>
      <c r="G105" s="260" t="s">
        <v>44</v>
      </c>
      <c r="H105" s="481" t="s">
        <v>14</v>
      </c>
      <c r="I105" s="43">
        <f>J105+L105</f>
        <v>38.6</v>
      </c>
      <c r="J105" s="48">
        <v>38.6</v>
      </c>
      <c r="K105" s="46">
        <v>23.6</v>
      </c>
      <c r="L105" s="59"/>
      <c r="M105" s="43">
        <f>N105+P105</f>
        <v>57.2</v>
      </c>
      <c r="N105" s="48">
        <f>54.7+2.5</f>
        <v>57.2</v>
      </c>
      <c r="O105" s="46">
        <v>29.8</v>
      </c>
      <c r="P105" s="59">
        <v>0</v>
      </c>
      <c r="Q105" s="43">
        <f>R105+T105</f>
        <v>54.7</v>
      </c>
      <c r="R105" s="48">
        <v>54.7</v>
      </c>
      <c r="S105" s="46">
        <v>29.8</v>
      </c>
      <c r="T105" s="207">
        <v>0</v>
      </c>
      <c r="U105" s="227">
        <f>V105+X105</f>
        <v>54.7</v>
      </c>
      <c r="V105" s="48">
        <v>54.7</v>
      </c>
      <c r="W105" s="46">
        <v>29.8</v>
      </c>
      <c r="X105" s="229">
        <v>0</v>
      </c>
      <c r="Z105" s="279"/>
      <c r="AA105" s="279"/>
      <c r="AB105" s="279"/>
      <c r="AC105" s="279"/>
      <c r="AD105" s="279"/>
      <c r="AE105" s="279"/>
      <c r="AF105" s="279"/>
      <c r="AG105" s="279"/>
      <c r="AH105" s="279"/>
      <c r="AI105" s="279"/>
      <c r="AJ105" s="279"/>
      <c r="AK105" s="279"/>
      <c r="AL105" s="279"/>
    </row>
    <row r="106" spans="1:38" s="280" customFormat="1" ht="19.5" customHeight="1" thickBot="1" x14ac:dyDescent="0.25">
      <c r="A106" s="570"/>
      <c r="B106" s="579"/>
      <c r="C106" s="577"/>
      <c r="D106" s="578"/>
      <c r="E106" s="576"/>
      <c r="F106" s="541" t="s">
        <v>11</v>
      </c>
      <c r="G106" s="542"/>
      <c r="H106" s="543"/>
      <c r="I106" s="479">
        <f>SUM(J106,L106)</f>
        <v>38.6</v>
      </c>
      <c r="J106" s="119">
        <f>SUM(J105:J105)</f>
        <v>38.6</v>
      </c>
      <c r="K106" s="119">
        <f>SUM(K105:K105)</f>
        <v>23.6</v>
      </c>
      <c r="L106" s="123">
        <f>SUM(L105:L105)</f>
        <v>0</v>
      </c>
      <c r="M106" s="476">
        <f t="shared" ref="M106" si="90">SUM(N106,P106)</f>
        <v>57.2</v>
      </c>
      <c r="N106" s="119">
        <f>SUM(N105:N105)</f>
        <v>57.2</v>
      </c>
      <c r="O106" s="119">
        <f>SUM(O105:O105)</f>
        <v>29.8</v>
      </c>
      <c r="P106" s="123">
        <f>SUM(P105:P105)</f>
        <v>0</v>
      </c>
      <c r="Q106" s="476">
        <f t="shared" ref="Q106" si="91">SUM(R106,T106)</f>
        <v>54.7</v>
      </c>
      <c r="R106" s="119">
        <f>SUM(R105:R105)</f>
        <v>54.7</v>
      </c>
      <c r="S106" s="119">
        <f>SUM(S105:S105)</f>
        <v>29.8</v>
      </c>
      <c r="T106" s="477">
        <f>SUM(T105:T105)</f>
        <v>0</v>
      </c>
      <c r="U106" s="478">
        <f t="shared" ref="U106" si="92">SUM(V106,X106)</f>
        <v>54.7</v>
      </c>
      <c r="V106" s="119">
        <f>SUM(V105:V105)</f>
        <v>54.7</v>
      </c>
      <c r="W106" s="119">
        <f>SUM(W105:W105)</f>
        <v>29.8</v>
      </c>
      <c r="X106" s="123">
        <f>SUM(X105:X105)</f>
        <v>0</v>
      </c>
      <c r="Y106" s="269"/>
      <c r="Z106" s="279"/>
      <c r="AA106" s="279"/>
      <c r="AB106" s="279"/>
      <c r="AC106" s="279"/>
      <c r="AD106" s="279"/>
      <c r="AE106" s="279"/>
      <c r="AF106" s="279"/>
      <c r="AG106" s="279"/>
      <c r="AH106" s="279"/>
      <c r="AI106" s="279"/>
      <c r="AJ106" s="279"/>
      <c r="AK106" s="279"/>
      <c r="AL106" s="279"/>
    </row>
    <row r="107" spans="1:38" ht="19.5" customHeight="1" thickBot="1" x14ac:dyDescent="0.25">
      <c r="A107" s="570">
        <v>2</v>
      </c>
      <c r="B107" s="579">
        <v>4</v>
      </c>
      <c r="C107" s="577">
        <v>5</v>
      </c>
      <c r="D107" s="578" t="s">
        <v>26</v>
      </c>
      <c r="E107" s="576">
        <v>23</v>
      </c>
      <c r="F107" s="465" t="s">
        <v>20</v>
      </c>
      <c r="G107" s="468" t="s">
        <v>45</v>
      </c>
      <c r="H107" s="470" t="s">
        <v>14</v>
      </c>
      <c r="I107" s="482">
        <f>J107+L107</f>
        <v>403.3</v>
      </c>
      <c r="J107" s="483">
        <v>393.1</v>
      </c>
      <c r="K107" s="483">
        <v>264.60000000000002</v>
      </c>
      <c r="L107" s="474">
        <v>10.199999999999999</v>
      </c>
      <c r="M107" s="484">
        <f>N107+P107</f>
        <v>416.2</v>
      </c>
      <c r="N107" s="475">
        <f>391.2+25</f>
        <v>416.2</v>
      </c>
      <c r="O107" s="475">
        <f>302.9-15</f>
        <v>287.89999999999998</v>
      </c>
      <c r="P107" s="474"/>
      <c r="Q107" s="482">
        <f>R107+T107</f>
        <v>416.2</v>
      </c>
      <c r="R107" s="475">
        <v>391.2</v>
      </c>
      <c r="S107" s="475">
        <v>302.89999999999998</v>
      </c>
      <c r="T107" s="474">
        <v>25</v>
      </c>
      <c r="U107" s="482">
        <f>V107+X107</f>
        <v>416.2</v>
      </c>
      <c r="V107" s="475">
        <v>391.2</v>
      </c>
      <c r="W107" s="475">
        <v>302.89999999999998</v>
      </c>
      <c r="X107" s="474">
        <v>25</v>
      </c>
      <c r="Z107" s="279"/>
      <c r="AA107" s="279"/>
      <c r="AB107" s="279"/>
      <c r="AC107" s="279"/>
      <c r="AD107" s="279"/>
      <c r="AE107" s="279"/>
      <c r="AF107" s="279"/>
      <c r="AG107" s="279"/>
      <c r="AH107" s="279"/>
      <c r="AI107" s="279"/>
      <c r="AJ107" s="279"/>
      <c r="AK107" s="279"/>
      <c r="AL107" s="279"/>
    </row>
    <row r="108" spans="1:38" s="281" customFormat="1" ht="18.75" customHeight="1" thickBot="1" x14ac:dyDescent="0.25">
      <c r="A108" s="570"/>
      <c r="B108" s="579"/>
      <c r="C108" s="577"/>
      <c r="D108" s="578"/>
      <c r="E108" s="576"/>
      <c r="F108" s="541" t="s">
        <v>11</v>
      </c>
      <c r="G108" s="542"/>
      <c r="H108" s="543"/>
      <c r="I108" s="18">
        <f t="shared" ref="I108" si="93">SUM(J108,L108)</f>
        <v>403.3</v>
      </c>
      <c r="J108" s="33">
        <f>SUM(J107:J107)</f>
        <v>393.1</v>
      </c>
      <c r="K108" s="33">
        <f>SUM(K107:K107)</f>
        <v>264.60000000000002</v>
      </c>
      <c r="L108" s="20">
        <f>SUM(L107:L107)</f>
        <v>10.199999999999999</v>
      </c>
      <c r="M108" s="18">
        <f t="shared" ref="M108" si="94">SUM(N108,P108)</f>
        <v>416.2</v>
      </c>
      <c r="N108" s="33">
        <f>SUM(N107:N107)</f>
        <v>416.2</v>
      </c>
      <c r="O108" s="33">
        <f>SUM(O107:O107)</f>
        <v>287.89999999999998</v>
      </c>
      <c r="P108" s="20">
        <f>SUM(P107:P107)</f>
        <v>0</v>
      </c>
      <c r="Q108" s="18">
        <f t="shared" ref="Q108" si="95">SUM(R108,T108)</f>
        <v>416.2</v>
      </c>
      <c r="R108" s="33">
        <f>SUM(R107:R107)</f>
        <v>391.2</v>
      </c>
      <c r="S108" s="33">
        <f>SUM(S107:S107)</f>
        <v>302.89999999999998</v>
      </c>
      <c r="T108" s="20">
        <f>SUM(T107:T107)</f>
        <v>25</v>
      </c>
      <c r="U108" s="216">
        <f t="shared" ref="U108" si="96">SUM(V108,X108)</f>
        <v>416.2</v>
      </c>
      <c r="V108" s="19">
        <f>SUM(V107:V107)</f>
        <v>391.2</v>
      </c>
      <c r="W108" s="19">
        <f>SUM(W107:W107)</f>
        <v>302.89999999999998</v>
      </c>
      <c r="X108" s="20">
        <f>SUM(X107:X107)</f>
        <v>25</v>
      </c>
      <c r="Y108" s="269"/>
      <c r="Z108" s="279"/>
      <c r="AA108" s="279"/>
      <c r="AB108" s="279"/>
      <c r="AC108" s="279"/>
      <c r="AD108" s="279"/>
      <c r="AE108" s="279"/>
      <c r="AF108" s="279"/>
      <c r="AG108" s="279"/>
      <c r="AH108" s="279"/>
      <c r="AI108" s="279"/>
      <c r="AJ108" s="279"/>
      <c r="AK108" s="279"/>
      <c r="AL108" s="279"/>
    </row>
    <row r="109" spans="1:38" ht="19.5" customHeight="1" thickBot="1" x14ac:dyDescent="0.25">
      <c r="A109" s="570">
        <v>2</v>
      </c>
      <c r="B109" s="579">
        <v>4</v>
      </c>
      <c r="C109" s="577">
        <v>6</v>
      </c>
      <c r="D109" s="578" t="s">
        <v>27</v>
      </c>
      <c r="E109" s="576">
        <v>24</v>
      </c>
      <c r="F109" s="467" t="s">
        <v>20</v>
      </c>
      <c r="G109" s="466" t="s">
        <v>46</v>
      </c>
      <c r="H109" s="221" t="s">
        <v>14</v>
      </c>
      <c r="I109" s="43">
        <f>J109+L109</f>
        <v>31.5</v>
      </c>
      <c r="J109" s="48">
        <v>31.5</v>
      </c>
      <c r="K109" s="46">
        <v>24.3</v>
      </c>
      <c r="L109" s="44">
        <v>0</v>
      </c>
      <c r="M109" s="43">
        <f>N109+P109</f>
        <v>38.6</v>
      </c>
      <c r="N109" s="48">
        <f>36.6-3.1+2</f>
        <v>35.5</v>
      </c>
      <c r="O109" s="46">
        <f>25.6+2</f>
        <v>27.6</v>
      </c>
      <c r="P109" s="44">
        <v>3.1</v>
      </c>
      <c r="Q109" s="43">
        <f>R109+T109</f>
        <v>36.6</v>
      </c>
      <c r="R109" s="48">
        <v>36.6</v>
      </c>
      <c r="S109" s="46">
        <v>25.6</v>
      </c>
      <c r="T109" s="44">
        <v>0</v>
      </c>
      <c r="U109" s="306">
        <f>V109+X109</f>
        <v>36.6</v>
      </c>
      <c r="V109" s="48">
        <v>36.6</v>
      </c>
      <c r="W109" s="46">
        <v>25.6</v>
      </c>
      <c r="X109" s="311">
        <v>0</v>
      </c>
      <c r="Z109" s="279"/>
      <c r="AA109" s="279"/>
      <c r="AB109" s="279"/>
      <c r="AC109" s="279"/>
      <c r="AD109" s="279"/>
      <c r="AE109" s="279"/>
      <c r="AF109" s="279"/>
      <c r="AG109" s="279"/>
      <c r="AH109" s="279"/>
      <c r="AI109" s="279"/>
      <c r="AJ109" s="279"/>
      <c r="AK109" s="279"/>
      <c r="AL109" s="279"/>
    </row>
    <row r="110" spans="1:38" ht="19.5" customHeight="1" thickBot="1" x14ac:dyDescent="0.25">
      <c r="A110" s="570"/>
      <c r="B110" s="579"/>
      <c r="C110" s="577"/>
      <c r="D110" s="578"/>
      <c r="E110" s="576"/>
      <c r="F110" s="580" t="s">
        <v>11</v>
      </c>
      <c r="G110" s="581"/>
      <c r="H110" s="582"/>
      <c r="I110" s="18">
        <f t="shared" ref="I110:I142" si="97">SUM(J110,L110)</f>
        <v>31.5</v>
      </c>
      <c r="J110" s="19">
        <f>SUM(J109:J109)</f>
        <v>31.5</v>
      </c>
      <c r="K110" s="19">
        <f>SUM(K109:K109)</f>
        <v>24.3</v>
      </c>
      <c r="L110" s="20">
        <f>SUM(L109:L109)</f>
        <v>0</v>
      </c>
      <c r="M110" s="18">
        <f t="shared" ref="M110:M111" si="98">SUM(N110,P110)</f>
        <v>38.6</v>
      </c>
      <c r="N110" s="19">
        <f>SUM(N109:N109)</f>
        <v>35.5</v>
      </c>
      <c r="O110" s="19">
        <f>SUM(O109:O109)</f>
        <v>27.6</v>
      </c>
      <c r="P110" s="20">
        <f>SUM(P109:P109)</f>
        <v>3.1</v>
      </c>
      <c r="Q110" s="18">
        <f t="shared" ref="Q110" si="99">SUM(R110,T110)</f>
        <v>36.6</v>
      </c>
      <c r="R110" s="19">
        <f>SUM(R109:R109)</f>
        <v>36.6</v>
      </c>
      <c r="S110" s="19">
        <f>SUM(S109:S109)</f>
        <v>25.6</v>
      </c>
      <c r="T110" s="20">
        <f>SUM(T109:T109)</f>
        <v>0</v>
      </c>
      <c r="U110" s="297">
        <f t="shared" ref="U110:U112" si="100">SUM(V110,X110)</f>
        <v>36.6</v>
      </c>
      <c r="V110" s="19">
        <f>SUM(V109:V109)</f>
        <v>36.6</v>
      </c>
      <c r="W110" s="19">
        <f>SUM(W109:W109)</f>
        <v>25.6</v>
      </c>
      <c r="X110" s="20">
        <f>SUM(X109:X109)</f>
        <v>0</v>
      </c>
      <c r="Z110" s="279"/>
      <c r="AA110" s="279"/>
      <c r="AB110" s="279"/>
      <c r="AC110" s="279"/>
      <c r="AD110" s="279"/>
      <c r="AE110" s="279"/>
      <c r="AF110" s="279"/>
      <c r="AG110" s="279"/>
      <c r="AH110" s="279"/>
      <c r="AI110" s="279"/>
      <c r="AJ110" s="279"/>
      <c r="AK110" s="279"/>
      <c r="AL110" s="279"/>
    </row>
    <row r="111" spans="1:38" ht="19.5" customHeight="1" thickBot="1" x14ac:dyDescent="0.25">
      <c r="A111" s="570">
        <v>2</v>
      </c>
      <c r="B111" s="579">
        <v>4</v>
      </c>
      <c r="C111" s="577">
        <v>7</v>
      </c>
      <c r="D111" s="578" t="s">
        <v>66</v>
      </c>
      <c r="E111" s="576">
        <v>25</v>
      </c>
      <c r="F111" s="252" t="s">
        <v>20</v>
      </c>
      <c r="G111" s="260" t="s">
        <v>47</v>
      </c>
      <c r="H111" s="88" t="s">
        <v>14</v>
      </c>
      <c r="I111" s="186">
        <f t="shared" si="97"/>
        <v>83</v>
      </c>
      <c r="J111" s="153">
        <v>83</v>
      </c>
      <c r="K111" s="46">
        <v>52.3</v>
      </c>
      <c r="L111" s="197"/>
      <c r="M111" s="186">
        <f t="shared" si="98"/>
        <v>106.1</v>
      </c>
      <c r="N111" s="153">
        <f>98-9+8.1</f>
        <v>97.1</v>
      </c>
      <c r="O111" s="46">
        <f>58.1+3.1</f>
        <v>61.2</v>
      </c>
      <c r="P111" s="44">
        <v>9</v>
      </c>
      <c r="Q111" s="186">
        <f>T111+R111</f>
        <v>98</v>
      </c>
      <c r="R111" s="153">
        <v>98</v>
      </c>
      <c r="S111" s="46">
        <v>58.1</v>
      </c>
      <c r="T111" s="44">
        <v>0</v>
      </c>
      <c r="U111" s="306">
        <f>X111+V111</f>
        <v>98</v>
      </c>
      <c r="V111" s="153">
        <v>98</v>
      </c>
      <c r="W111" s="46">
        <v>58.1</v>
      </c>
      <c r="X111" s="311">
        <v>0</v>
      </c>
      <c r="Z111" s="279"/>
      <c r="AA111" s="279"/>
      <c r="AB111" s="279"/>
      <c r="AC111" s="279"/>
      <c r="AD111" s="279"/>
      <c r="AE111" s="279"/>
      <c r="AF111" s="279"/>
      <c r="AG111" s="279"/>
      <c r="AH111" s="279"/>
      <c r="AI111" s="279"/>
      <c r="AJ111" s="279"/>
      <c r="AK111" s="279"/>
      <c r="AL111" s="279"/>
    </row>
    <row r="112" spans="1:38" ht="19.5" customHeight="1" thickBot="1" x14ac:dyDescent="0.25">
      <c r="A112" s="570"/>
      <c r="B112" s="579"/>
      <c r="C112" s="577"/>
      <c r="D112" s="578"/>
      <c r="E112" s="576"/>
      <c r="F112" s="580" t="s">
        <v>11</v>
      </c>
      <c r="G112" s="581"/>
      <c r="H112" s="582"/>
      <c r="I112" s="18">
        <f t="shared" ref="I112:I121" si="101">SUM(J112,L112)</f>
        <v>83</v>
      </c>
      <c r="J112" s="19">
        <f>SUM(J111:J111)</f>
        <v>83</v>
      </c>
      <c r="K112" s="19">
        <f>SUM(K111:K111)</f>
        <v>52.3</v>
      </c>
      <c r="L112" s="20">
        <f>SUM(L111:L111)</f>
        <v>0</v>
      </c>
      <c r="M112" s="18">
        <f t="shared" ref="M112" si="102">SUM(N112,P112)</f>
        <v>106.1</v>
      </c>
      <c r="N112" s="19">
        <f>SUM(N111:N111)</f>
        <v>97.1</v>
      </c>
      <c r="O112" s="19">
        <f>SUM(O111:O111)</f>
        <v>61.2</v>
      </c>
      <c r="P112" s="20">
        <f>SUM(P111:P111)</f>
        <v>9</v>
      </c>
      <c r="Q112" s="18">
        <f t="shared" ref="Q112" si="103">SUM(R112,T112)</f>
        <v>98</v>
      </c>
      <c r="R112" s="19">
        <f>SUM(R111:R111)</f>
        <v>98</v>
      </c>
      <c r="S112" s="19">
        <f>SUM(S111:S111)</f>
        <v>58.1</v>
      </c>
      <c r="T112" s="20">
        <f>SUM(T111:T111)</f>
        <v>0</v>
      </c>
      <c r="U112" s="297">
        <f t="shared" si="100"/>
        <v>98</v>
      </c>
      <c r="V112" s="19">
        <f>SUM(V111:V111)</f>
        <v>98</v>
      </c>
      <c r="W112" s="19">
        <f>SUM(W111:W111)</f>
        <v>58.1</v>
      </c>
      <c r="X112" s="20">
        <f>SUM(X111:X111)</f>
        <v>0</v>
      </c>
      <c r="Z112" s="279"/>
      <c r="AA112" s="279"/>
      <c r="AB112" s="279"/>
      <c r="AC112" s="279"/>
      <c r="AD112" s="279"/>
      <c r="AE112" s="279"/>
      <c r="AF112" s="279"/>
      <c r="AG112" s="279"/>
      <c r="AH112" s="279"/>
      <c r="AI112" s="279"/>
      <c r="AJ112" s="279"/>
      <c r="AK112" s="279"/>
      <c r="AL112" s="279"/>
    </row>
    <row r="113" spans="1:38" ht="14.25" customHeight="1" x14ac:dyDescent="0.2">
      <c r="A113" s="570">
        <v>2</v>
      </c>
      <c r="B113" s="579">
        <v>4</v>
      </c>
      <c r="C113" s="577">
        <v>8</v>
      </c>
      <c r="D113" s="578" t="s">
        <v>67</v>
      </c>
      <c r="E113" s="576">
        <v>26</v>
      </c>
      <c r="F113" s="583" t="s">
        <v>20</v>
      </c>
      <c r="G113" s="713" t="s">
        <v>48</v>
      </c>
      <c r="H113" s="88" t="s">
        <v>14</v>
      </c>
      <c r="I113" s="45">
        <f>J113+L113</f>
        <v>127.2</v>
      </c>
      <c r="J113" s="48">
        <v>127.2</v>
      </c>
      <c r="K113" s="46">
        <v>96.9</v>
      </c>
      <c r="L113" s="159"/>
      <c r="M113" s="45">
        <f>N113+P113</f>
        <v>162</v>
      </c>
      <c r="N113" s="48">
        <f>150+6+5+1</f>
        <v>162</v>
      </c>
      <c r="O113" s="46">
        <f>105.7+1</f>
        <v>106.7</v>
      </c>
      <c r="P113" s="44">
        <v>0</v>
      </c>
      <c r="Q113" s="45">
        <f>R113+T113</f>
        <v>150</v>
      </c>
      <c r="R113" s="48">
        <v>150</v>
      </c>
      <c r="S113" s="46">
        <v>105.7</v>
      </c>
      <c r="T113" s="44">
        <v>0</v>
      </c>
      <c r="U113" s="307">
        <f>V113+X113</f>
        <v>150</v>
      </c>
      <c r="V113" s="48">
        <v>150</v>
      </c>
      <c r="W113" s="46">
        <v>105.7</v>
      </c>
      <c r="X113" s="312">
        <v>0</v>
      </c>
      <c r="Z113" s="279"/>
      <c r="AA113" s="279"/>
      <c r="AB113" s="279"/>
      <c r="AC113" s="279"/>
      <c r="AD113" s="279"/>
      <c r="AE113" s="279"/>
      <c r="AF113" s="279"/>
      <c r="AG113" s="279"/>
      <c r="AH113" s="279"/>
      <c r="AI113" s="279"/>
      <c r="AJ113" s="279"/>
      <c r="AK113" s="279"/>
      <c r="AL113" s="279"/>
    </row>
    <row r="114" spans="1:38" ht="15.75" customHeight="1" thickBot="1" x14ac:dyDescent="0.25">
      <c r="A114" s="570"/>
      <c r="B114" s="579"/>
      <c r="C114" s="577"/>
      <c r="D114" s="578"/>
      <c r="E114" s="576"/>
      <c r="F114" s="584"/>
      <c r="G114" s="710"/>
      <c r="H114" s="89" t="s">
        <v>32</v>
      </c>
      <c r="I114" s="160">
        <f t="shared" si="101"/>
        <v>10</v>
      </c>
      <c r="J114" s="161">
        <v>10</v>
      </c>
      <c r="K114" s="51">
        <v>0</v>
      </c>
      <c r="L114" s="50">
        <v>0</v>
      </c>
      <c r="M114" s="188">
        <f>SUM(N114,P114)</f>
        <v>10</v>
      </c>
      <c r="N114" s="161">
        <v>10</v>
      </c>
      <c r="O114" s="51"/>
      <c r="P114" s="50">
        <v>0</v>
      </c>
      <c r="Q114" s="188">
        <f>SUM(R114,T114)</f>
        <v>10</v>
      </c>
      <c r="R114" s="161">
        <v>10</v>
      </c>
      <c r="S114" s="51"/>
      <c r="T114" s="50">
        <v>0</v>
      </c>
      <c r="U114" s="308">
        <f>SUM(V114,X114)</f>
        <v>10</v>
      </c>
      <c r="V114" s="161">
        <v>10</v>
      </c>
      <c r="W114" s="51"/>
      <c r="X114" s="313">
        <v>0</v>
      </c>
      <c r="Z114" s="282"/>
      <c r="AA114" s="282"/>
      <c r="AB114" s="282"/>
      <c r="AC114" s="282"/>
      <c r="AD114" s="282"/>
      <c r="AE114" s="282"/>
      <c r="AF114" s="282"/>
      <c r="AG114" s="282"/>
      <c r="AH114" s="282"/>
      <c r="AI114" s="282"/>
      <c r="AJ114" s="282"/>
      <c r="AK114" s="282"/>
      <c r="AL114" s="282"/>
    </row>
    <row r="115" spans="1:38" ht="15.75" customHeight="1" thickBot="1" x14ac:dyDescent="0.25">
      <c r="A115" s="570"/>
      <c r="B115" s="579"/>
      <c r="C115" s="577"/>
      <c r="D115" s="578"/>
      <c r="E115" s="576"/>
      <c r="F115" s="580" t="s">
        <v>11</v>
      </c>
      <c r="G115" s="581"/>
      <c r="H115" s="582"/>
      <c r="I115" s="18">
        <f t="shared" si="101"/>
        <v>137.19999999999999</v>
      </c>
      <c r="J115" s="19">
        <f>SUM(J113:J114)</f>
        <v>137.19999999999999</v>
      </c>
      <c r="K115" s="19">
        <f>SUM(K113:K114)</f>
        <v>96.9</v>
      </c>
      <c r="L115" s="20">
        <f>SUM(L113:L114)</f>
        <v>0</v>
      </c>
      <c r="M115" s="18">
        <f t="shared" ref="M115" si="104">SUM(N115,P115)</f>
        <v>172</v>
      </c>
      <c r="N115" s="19">
        <f>SUM(N113:N114)</f>
        <v>172</v>
      </c>
      <c r="O115" s="19">
        <f>SUM(O113:O114)</f>
        <v>106.7</v>
      </c>
      <c r="P115" s="20">
        <f>SUM(P113:P114)</f>
        <v>0</v>
      </c>
      <c r="Q115" s="18">
        <f t="shared" ref="Q115" si="105">SUM(R115,T115)</f>
        <v>160</v>
      </c>
      <c r="R115" s="19">
        <f>SUM(R113:R114)</f>
        <v>160</v>
      </c>
      <c r="S115" s="19">
        <f>SUM(S113:S114)</f>
        <v>105.7</v>
      </c>
      <c r="T115" s="20">
        <f>SUM(T113:T114)</f>
        <v>0</v>
      </c>
      <c r="U115" s="297">
        <f t="shared" ref="U115" si="106">SUM(V115,X115)</f>
        <v>160</v>
      </c>
      <c r="V115" s="19">
        <f>SUM(V113:V114)</f>
        <v>160</v>
      </c>
      <c r="W115" s="19">
        <f>SUM(W113:W114)</f>
        <v>105.7</v>
      </c>
      <c r="X115" s="20">
        <f>SUM(X113:X114)</f>
        <v>0</v>
      </c>
      <c r="Z115" s="282"/>
      <c r="AA115" s="282"/>
      <c r="AB115" s="282"/>
      <c r="AC115" s="282"/>
      <c r="AD115" s="282"/>
      <c r="AE115" s="282"/>
      <c r="AF115" s="282"/>
      <c r="AG115" s="282"/>
      <c r="AH115" s="282"/>
      <c r="AI115" s="282"/>
      <c r="AJ115" s="282"/>
      <c r="AK115" s="282"/>
      <c r="AL115" s="282"/>
    </row>
    <row r="116" spans="1:38" ht="18" customHeight="1" thickBot="1" x14ac:dyDescent="0.25">
      <c r="A116" s="570">
        <v>2</v>
      </c>
      <c r="B116" s="579">
        <v>4</v>
      </c>
      <c r="C116" s="577">
        <v>9</v>
      </c>
      <c r="D116" s="578" t="s">
        <v>68</v>
      </c>
      <c r="E116" s="576">
        <v>27</v>
      </c>
      <c r="F116" s="252" t="s">
        <v>20</v>
      </c>
      <c r="G116" s="260" t="s">
        <v>49</v>
      </c>
      <c r="H116" s="88" t="s">
        <v>14</v>
      </c>
      <c r="I116" s="45">
        <f>J116+L116</f>
        <v>43.5</v>
      </c>
      <c r="J116" s="48">
        <v>43.5</v>
      </c>
      <c r="K116" s="46">
        <v>17.8</v>
      </c>
      <c r="L116" s="198"/>
      <c r="M116" s="45">
        <f>N116+P116</f>
        <v>69.400000000000006</v>
      </c>
      <c r="N116" s="48">
        <f>50.7+3+5.5</f>
        <v>59.2</v>
      </c>
      <c r="O116" s="46">
        <f>18.3-2</f>
        <v>16.3</v>
      </c>
      <c r="P116" s="47">
        <v>10.199999999999999</v>
      </c>
      <c r="Q116" s="45">
        <f>R116+T116</f>
        <v>51.9</v>
      </c>
      <c r="R116" s="48">
        <v>51.9</v>
      </c>
      <c r="S116" s="46">
        <v>18.3</v>
      </c>
      <c r="T116" s="47"/>
      <c r="U116" s="309">
        <f>V116+X116</f>
        <v>51.9</v>
      </c>
      <c r="V116" s="48">
        <v>51.9</v>
      </c>
      <c r="W116" s="46">
        <v>18.3</v>
      </c>
      <c r="X116" s="314"/>
      <c r="Z116" s="282"/>
      <c r="AA116" s="282"/>
      <c r="AB116" s="282"/>
      <c r="AC116" s="282"/>
      <c r="AD116" s="282"/>
      <c r="AE116" s="282"/>
      <c r="AF116" s="282"/>
      <c r="AG116" s="282"/>
      <c r="AH116" s="282"/>
      <c r="AI116" s="282"/>
      <c r="AJ116" s="282"/>
      <c r="AK116" s="282"/>
      <c r="AL116" s="282"/>
    </row>
    <row r="117" spans="1:38" ht="17.25" customHeight="1" thickBot="1" x14ac:dyDescent="0.25">
      <c r="A117" s="570"/>
      <c r="B117" s="579"/>
      <c r="C117" s="577"/>
      <c r="D117" s="578"/>
      <c r="E117" s="576"/>
      <c r="F117" s="541" t="s">
        <v>11</v>
      </c>
      <c r="G117" s="542"/>
      <c r="H117" s="543"/>
      <c r="I117" s="18">
        <f t="shared" si="101"/>
        <v>43.5</v>
      </c>
      <c r="J117" s="19">
        <f>SUM(J116:J116)</f>
        <v>43.5</v>
      </c>
      <c r="K117" s="19">
        <f>SUM(K116:K116)</f>
        <v>17.8</v>
      </c>
      <c r="L117" s="180">
        <f>SUM(L116:L116)</f>
        <v>0</v>
      </c>
      <c r="M117" s="18">
        <f t="shared" ref="M117" si="107">SUM(N117,P117)</f>
        <v>69.400000000000006</v>
      </c>
      <c r="N117" s="19">
        <f>SUM(N116:N116)</f>
        <v>59.2</v>
      </c>
      <c r="O117" s="19">
        <f>SUM(O116:O116)</f>
        <v>16.3</v>
      </c>
      <c r="P117" s="20">
        <f>P116</f>
        <v>10.199999999999999</v>
      </c>
      <c r="Q117" s="18">
        <f t="shared" ref="Q117" si="108">SUM(R117,T117)</f>
        <v>51.9</v>
      </c>
      <c r="R117" s="19">
        <f>SUM(R116:R116)</f>
        <v>51.9</v>
      </c>
      <c r="S117" s="19">
        <f>SUM(S116:S116)</f>
        <v>18.3</v>
      </c>
      <c r="T117" s="20"/>
      <c r="U117" s="297">
        <f t="shared" ref="U117" si="109">SUM(V117,X117)</f>
        <v>51.9</v>
      </c>
      <c r="V117" s="19">
        <f>SUM(V116:V116)</f>
        <v>51.9</v>
      </c>
      <c r="W117" s="19">
        <f>SUM(W116:W116)</f>
        <v>18.3</v>
      </c>
      <c r="X117" s="20"/>
    </row>
    <row r="118" spans="1:38" ht="21.75" customHeight="1" thickBot="1" x14ac:dyDescent="0.25">
      <c r="A118" s="570">
        <v>2</v>
      </c>
      <c r="B118" s="579">
        <v>4</v>
      </c>
      <c r="C118" s="577">
        <v>10</v>
      </c>
      <c r="D118" s="578" t="s">
        <v>69</v>
      </c>
      <c r="E118" s="576">
        <v>28</v>
      </c>
      <c r="F118" s="252" t="s">
        <v>20</v>
      </c>
      <c r="G118" s="260" t="s">
        <v>50</v>
      </c>
      <c r="H118" s="88" t="s">
        <v>14</v>
      </c>
      <c r="I118" s="45">
        <f>J118+L118</f>
        <v>61</v>
      </c>
      <c r="J118" s="48">
        <v>61</v>
      </c>
      <c r="K118" s="46">
        <v>38.4</v>
      </c>
      <c r="L118" s="12"/>
      <c r="M118" s="45">
        <f>N118+P118</f>
        <v>91.5</v>
      </c>
      <c r="N118" s="48">
        <f>74+5+2</f>
        <v>81</v>
      </c>
      <c r="O118" s="46">
        <f>40.9+2</f>
        <v>42.9</v>
      </c>
      <c r="P118" s="59">
        <f>5+5.5</f>
        <v>10.5</v>
      </c>
      <c r="Q118" s="45">
        <f>R118+T118</f>
        <v>74</v>
      </c>
      <c r="R118" s="48">
        <v>74</v>
      </c>
      <c r="S118" s="46">
        <v>40.9</v>
      </c>
      <c r="T118" s="59"/>
      <c r="U118" s="310">
        <f>V118+X118</f>
        <v>74</v>
      </c>
      <c r="V118" s="48">
        <v>74</v>
      </c>
      <c r="W118" s="46">
        <v>40.9</v>
      </c>
      <c r="X118" s="315"/>
    </row>
    <row r="119" spans="1:38" ht="17.25" customHeight="1" thickBot="1" x14ac:dyDescent="0.25">
      <c r="A119" s="570"/>
      <c r="B119" s="579"/>
      <c r="C119" s="577"/>
      <c r="D119" s="578"/>
      <c r="E119" s="576"/>
      <c r="F119" s="580" t="s">
        <v>11</v>
      </c>
      <c r="G119" s="581"/>
      <c r="H119" s="582"/>
      <c r="I119" s="18">
        <f t="shared" si="101"/>
        <v>61</v>
      </c>
      <c r="J119" s="19">
        <f>SUM(J118:J118)</f>
        <v>61</v>
      </c>
      <c r="K119" s="19">
        <f>SUM(K118:K118)</f>
        <v>38.4</v>
      </c>
      <c r="L119" s="20">
        <f>SUM(L118:L118)</f>
        <v>0</v>
      </c>
      <c r="M119" s="18">
        <f t="shared" ref="M119" si="110">SUM(N119,P119)</f>
        <v>91.5</v>
      </c>
      <c r="N119" s="19">
        <f>SUM(N118:N118)</f>
        <v>81</v>
      </c>
      <c r="O119" s="19">
        <f>SUM(O118:O118)</f>
        <v>42.9</v>
      </c>
      <c r="P119" s="20">
        <f>P118</f>
        <v>10.5</v>
      </c>
      <c r="Q119" s="18">
        <f t="shared" ref="Q119:Q121" si="111">SUM(R119,T119)</f>
        <v>74</v>
      </c>
      <c r="R119" s="19">
        <f>SUM(R118:R118)</f>
        <v>74</v>
      </c>
      <c r="S119" s="19">
        <f>SUM(S118:S118)</f>
        <v>40.9</v>
      </c>
      <c r="T119" s="20"/>
      <c r="U119" s="297">
        <f t="shared" ref="U119" si="112">SUM(V119,X119)</f>
        <v>74</v>
      </c>
      <c r="V119" s="19">
        <f>SUM(V118:V118)</f>
        <v>74</v>
      </c>
      <c r="W119" s="19">
        <f>SUM(W118:W118)</f>
        <v>40.9</v>
      </c>
      <c r="X119" s="20"/>
    </row>
    <row r="120" spans="1:38" ht="25.5" customHeight="1" thickBot="1" x14ac:dyDescent="0.25">
      <c r="A120" s="570">
        <v>2</v>
      </c>
      <c r="B120" s="579">
        <v>4</v>
      </c>
      <c r="C120" s="577">
        <v>11</v>
      </c>
      <c r="D120" s="578" t="s">
        <v>70</v>
      </c>
      <c r="E120" s="576">
        <v>29</v>
      </c>
      <c r="F120" s="252" t="s">
        <v>20</v>
      </c>
      <c r="G120" s="260" t="s">
        <v>51</v>
      </c>
      <c r="H120" s="88" t="s">
        <v>14</v>
      </c>
      <c r="I120" s="45">
        <f>J120+L120</f>
        <v>65.2</v>
      </c>
      <c r="J120" s="153">
        <v>65.2</v>
      </c>
      <c r="K120" s="139">
        <v>29.2</v>
      </c>
      <c r="L120" s="59"/>
      <c r="M120" s="158">
        <f>N120+P120</f>
        <v>86</v>
      </c>
      <c r="N120" s="153">
        <f>69.3-10.2+2.9+12</f>
        <v>74</v>
      </c>
      <c r="O120" s="139">
        <f>38.4-0.2-9.8</f>
        <v>28.399999999999995</v>
      </c>
      <c r="P120" s="59">
        <f>7+5</f>
        <v>12</v>
      </c>
      <c r="Q120" s="158">
        <f>R120+T120</f>
        <v>76.3</v>
      </c>
      <c r="R120" s="153">
        <v>69.3</v>
      </c>
      <c r="S120" s="139">
        <v>38.4</v>
      </c>
      <c r="T120" s="59">
        <f>7</f>
        <v>7</v>
      </c>
      <c r="U120" s="310">
        <f>V120+X120</f>
        <v>69.3</v>
      </c>
      <c r="V120" s="153">
        <v>69.3</v>
      </c>
      <c r="W120" s="139">
        <v>38.4</v>
      </c>
      <c r="X120" s="315"/>
    </row>
    <row r="121" spans="1:38" ht="15.75" customHeight="1" thickBot="1" x14ac:dyDescent="0.25">
      <c r="A121" s="570"/>
      <c r="B121" s="579"/>
      <c r="C121" s="577"/>
      <c r="D121" s="578"/>
      <c r="E121" s="576"/>
      <c r="F121" s="541" t="s">
        <v>11</v>
      </c>
      <c r="G121" s="542"/>
      <c r="H121" s="543"/>
      <c r="I121" s="18">
        <f t="shared" si="101"/>
        <v>65.2</v>
      </c>
      <c r="J121" s="19">
        <f>SUM(J120:J120)</f>
        <v>65.2</v>
      </c>
      <c r="K121" s="19">
        <f>SUM(K120:K120)</f>
        <v>29.2</v>
      </c>
      <c r="L121" s="20">
        <f>SUM(L120:L120)</f>
        <v>0</v>
      </c>
      <c r="M121" s="18">
        <f>SUM(N121,P121)</f>
        <v>86</v>
      </c>
      <c r="N121" s="19">
        <f>SUM(N120:N120)</f>
        <v>74</v>
      </c>
      <c r="O121" s="19">
        <f>SUM(O120:O120)</f>
        <v>28.399999999999995</v>
      </c>
      <c r="P121" s="20">
        <f>P120</f>
        <v>12</v>
      </c>
      <c r="Q121" s="18">
        <f t="shared" si="111"/>
        <v>69.3</v>
      </c>
      <c r="R121" s="19">
        <f>SUM(R120:R120)</f>
        <v>69.3</v>
      </c>
      <c r="S121" s="19">
        <f>SUM(S120:S120)</f>
        <v>38.4</v>
      </c>
      <c r="T121" s="20"/>
      <c r="U121" s="297">
        <f t="shared" ref="U121" si="113">SUM(V121,X121)</f>
        <v>69.3</v>
      </c>
      <c r="V121" s="19">
        <f>SUM(V120:V120)</f>
        <v>69.3</v>
      </c>
      <c r="W121" s="19">
        <f>SUM(W120:W120)</f>
        <v>38.4</v>
      </c>
      <c r="X121" s="20"/>
    </row>
    <row r="122" spans="1:38" ht="21.75" customHeight="1" thickBot="1" x14ac:dyDescent="0.25">
      <c r="A122" s="570">
        <v>2</v>
      </c>
      <c r="B122" s="579">
        <v>4</v>
      </c>
      <c r="C122" s="577">
        <v>12</v>
      </c>
      <c r="D122" s="578" t="s">
        <v>100</v>
      </c>
      <c r="E122" s="708" t="s">
        <v>114</v>
      </c>
      <c r="F122" s="252" t="s">
        <v>20</v>
      </c>
      <c r="G122" s="260" t="s">
        <v>94</v>
      </c>
      <c r="H122" s="88" t="s">
        <v>14</v>
      </c>
      <c r="I122" s="69">
        <v>10</v>
      </c>
      <c r="J122" s="48"/>
      <c r="K122" s="46"/>
      <c r="L122" s="59">
        <v>10</v>
      </c>
      <c r="M122" s="69">
        <v>10</v>
      </c>
      <c r="N122" s="48"/>
      <c r="O122" s="46"/>
      <c r="P122" s="59">
        <v>10</v>
      </c>
      <c r="Q122" s="69">
        <v>10</v>
      </c>
      <c r="R122" s="48"/>
      <c r="S122" s="46"/>
      <c r="T122" s="59">
        <v>10</v>
      </c>
      <c r="U122" s="310"/>
      <c r="V122" s="232"/>
      <c r="W122" s="232"/>
      <c r="X122" s="315"/>
    </row>
    <row r="123" spans="1:38" ht="33" customHeight="1" thickBot="1" x14ac:dyDescent="0.25">
      <c r="A123" s="570"/>
      <c r="B123" s="579"/>
      <c r="C123" s="577"/>
      <c r="D123" s="578"/>
      <c r="E123" s="708"/>
      <c r="F123" s="541" t="s">
        <v>11</v>
      </c>
      <c r="G123" s="542"/>
      <c r="H123" s="543"/>
      <c r="I123" s="18">
        <f t="shared" ref="I123" si="114">SUM(J123,L123)</f>
        <v>10</v>
      </c>
      <c r="J123" s="19">
        <f>SUM(J122:J122)</f>
        <v>0</v>
      </c>
      <c r="K123" s="19">
        <f>SUM(K122:K122)</f>
        <v>0</v>
      </c>
      <c r="L123" s="20">
        <f>SUM(L122:L122)</f>
        <v>10</v>
      </c>
      <c r="M123" s="18">
        <f t="shared" ref="M123" si="115">SUM(N123,P123)</f>
        <v>10</v>
      </c>
      <c r="N123" s="19">
        <f>SUM(N122:N122)</f>
        <v>0</v>
      </c>
      <c r="O123" s="19">
        <f>SUM(O122:O122)</f>
        <v>0</v>
      </c>
      <c r="P123" s="20">
        <f>SUM(P122:P122)</f>
        <v>10</v>
      </c>
      <c r="Q123" s="18">
        <f t="shared" ref="Q123" si="116">SUM(R123,T123)</f>
        <v>10</v>
      </c>
      <c r="R123" s="19">
        <f>SUM(R122:R122)</f>
        <v>0</v>
      </c>
      <c r="S123" s="19">
        <f>SUM(S122:S122)</f>
        <v>0</v>
      </c>
      <c r="T123" s="20">
        <f>SUM(T122:T122)</f>
        <v>10</v>
      </c>
      <c r="U123" s="297"/>
      <c r="V123" s="19"/>
      <c r="W123" s="19"/>
      <c r="X123" s="20"/>
    </row>
    <row r="124" spans="1:38" ht="16.5" hidden="1" customHeight="1" x14ac:dyDescent="0.2">
      <c r="A124" s="648">
        <v>2</v>
      </c>
      <c r="B124" s="571">
        <v>4</v>
      </c>
      <c r="C124" s="709">
        <v>13</v>
      </c>
      <c r="D124" s="688" t="s">
        <v>115</v>
      </c>
      <c r="E124" s="251">
        <v>20</v>
      </c>
      <c r="F124" s="574" t="s">
        <v>20</v>
      </c>
      <c r="G124" s="262" t="s">
        <v>54</v>
      </c>
      <c r="H124" s="711" t="s">
        <v>14</v>
      </c>
      <c r="I124" s="34">
        <f t="shared" si="97"/>
        <v>0</v>
      </c>
      <c r="J124" s="22"/>
      <c r="K124" s="13">
        <v>0</v>
      </c>
      <c r="L124" s="14">
        <v>0</v>
      </c>
      <c r="M124" s="34"/>
      <c r="N124" s="22"/>
      <c r="O124" s="13"/>
      <c r="P124" s="14">
        <v>0</v>
      </c>
      <c r="Q124" s="34"/>
      <c r="R124" s="22"/>
      <c r="S124" s="13"/>
      <c r="T124" s="14"/>
      <c r="U124" s="316"/>
      <c r="V124" s="233"/>
      <c r="W124" s="233"/>
      <c r="X124" s="14">
        <v>0</v>
      </c>
    </row>
    <row r="125" spans="1:38" ht="15" customHeight="1" x14ac:dyDescent="0.2">
      <c r="A125" s="649"/>
      <c r="B125" s="572"/>
      <c r="C125" s="710"/>
      <c r="D125" s="689"/>
      <c r="E125" s="251">
        <v>21</v>
      </c>
      <c r="F125" s="575"/>
      <c r="G125" s="262" t="s">
        <v>55</v>
      </c>
      <c r="H125" s="712"/>
      <c r="I125" s="49">
        <f t="shared" si="97"/>
        <v>1.5</v>
      </c>
      <c r="J125" s="51">
        <v>1.5</v>
      </c>
      <c r="K125" s="15">
        <v>0</v>
      </c>
      <c r="L125" s="52">
        <v>0</v>
      </c>
      <c r="M125" s="49"/>
      <c r="N125" s="51"/>
      <c r="O125" s="15"/>
      <c r="P125" s="52">
        <v>0</v>
      </c>
      <c r="Q125" s="49"/>
      <c r="R125" s="51"/>
      <c r="S125" s="15"/>
      <c r="T125" s="320"/>
      <c r="U125" s="317"/>
      <c r="V125" s="15"/>
      <c r="W125" s="15"/>
      <c r="X125" s="320">
        <v>0</v>
      </c>
    </row>
    <row r="126" spans="1:38" ht="17.25" customHeight="1" x14ac:dyDescent="0.2">
      <c r="A126" s="649"/>
      <c r="B126" s="572"/>
      <c r="C126" s="710"/>
      <c r="D126" s="689"/>
      <c r="E126" s="251">
        <v>24</v>
      </c>
      <c r="F126" s="575"/>
      <c r="G126" s="262" t="s">
        <v>56</v>
      </c>
      <c r="H126" s="712"/>
      <c r="I126" s="49">
        <f t="shared" si="97"/>
        <v>0.3</v>
      </c>
      <c r="J126" s="51">
        <v>0.3</v>
      </c>
      <c r="K126" s="51">
        <v>0</v>
      </c>
      <c r="L126" s="53">
        <v>0</v>
      </c>
      <c r="M126" s="49"/>
      <c r="N126" s="51"/>
      <c r="O126" s="51"/>
      <c r="P126" s="53">
        <v>0</v>
      </c>
      <c r="Q126" s="49"/>
      <c r="R126" s="51"/>
      <c r="S126" s="51"/>
      <c r="T126" s="58"/>
      <c r="U126" s="318"/>
      <c r="V126" s="51"/>
      <c r="W126" s="51"/>
      <c r="X126" s="58">
        <v>0</v>
      </c>
    </row>
    <row r="127" spans="1:38" ht="15.75" customHeight="1" x14ac:dyDescent="0.2">
      <c r="A127" s="649"/>
      <c r="B127" s="572"/>
      <c r="C127" s="710"/>
      <c r="D127" s="689"/>
      <c r="E127" s="251">
        <v>27</v>
      </c>
      <c r="F127" s="575"/>
      <c r="G127" s="262" t="s">
        <v>57</v>
      </c>
      <c r="H127" s="712"/>
      <c r="I127" s="49">
        <f t="shared" si="97"/>
        <v>5</v>
      </c>
      <c r="J127" s="51">
        <v>3.5</v>
      </c>
      <c r="K127" s="15">
        <v>0</v>
      </c>
      <c r="L127" s="98">
        <v>1.5</v>
      </c>
      <c r="M127" s="49"/>
      <c r="N127" s="51"/>
      <c r="O127" s="15"/>
      <c r="P127" s="52">
        <v>0</v>
      </c>
      <c r="Q127" s="49"/>
      <c r="R127" s="51"/>
      <c r="S127" s="15"/>
      <c r="T127" s="320"/>
      <c r="U127" s="317"/>
      <c r="V127" s="15"/>
      <c r="W127" s="15"/>
      <c r="X127" s="320">
        <v>0</v>
      </c>
    </row>
    <row r="128" spans="1:38" ht="16.5" customHeight="1" thickBot="1" x14ac:dyDescent="0.25">
      <c r="A128" s="649"/>
      <c r="B128" s="572"/>
      <c r="C128" s="710"/>
      <c r="D128" s="689"/>
      <c r="E128" s="251">
        <v>28</v>
      </c>
      <c r="F128" s="575"/>
      <c r="G128" s="262" t="s">
        <v>58</v>
      </c>
      <c r="H128" s="712"/>
      <c r="I128" s="49">
        <f t="shared" si="97"/>
        <v>3.7</v>
      </c>
      <c r="J128" s="51">
        <v>3.7</v>
      </c>
      <c r="K128" s="15">
        <v>0</v>
      </c>
      <c r="L128" s="52">
        <v>0</v>
      </c>
      <c r="M128" s="49"/>
      <c r="N128" s="51"/>
      <c r="O128" s="15"/>
      <c r="P128" s="52">
        <v>0</v>
      </c>
      <c r="Q128" s="49"/>
      <c r="R128" s="51"/>
      <c r="S128" s="15"/>
      <c r="T128" s="320"/>
      <c r="U128" s="317"/>
      <c r="V128" s="15"/>
      <c r="W128" s="15"/>
      <c r="X128" s="320">
        <v>0</v>
      </c>
    </row>
    <row r="129" spans="1:38" ht="16.5" hidden="1" customHeight="1" thickBot="1" x14ac:dyDescent="0.25">
      <c r="A129" s="649"/>
      <c r="B129" s="572"/>
      <c r="C129" s="710"/>
      <c r="D129" s="689"/>
      <c r="E129" s="254">
        <v>29</v>
      </c>
      <c r="F129" s="575"/>
      <c r="G129" s="469" t="s">
        <v>59</v>
      </c>
      <c r="H129" s="712"/>
      <c r="I129" s="490">
        <f t="shared" si="97"/>
        <v>0</v>
      </c>
      <c r="J129" s="234"/>
      <c r="K129" s="234">
        <v>0</v>
      </c>
      <c r="L129" s="491">
        <v>0</v>
      </c>
      <c r="M129" s="54"/>
      <c r="N129" s="55"/>
      <c r="O129" s="55"/>
      <c r="P129" s="56">
        <v>0</v>
      </c>
      <c r="Q129" s="54"/>
      <c r="R129" s="55"/>
      <c r="S129" s="55"/>
      <c r="T129" s="322"/>
      <c r="U129" s="319"/>
      <c r="V129" s="234"/>
      <c r="W129" s="234"/>
      <c r="X129" s="321">
        <v>0</v>
      </c>
    </row>
    <row r="130" spans="1:38" ht="16.5" customHeight="1" thickBot="1" x14ac:dyDescent="0.25">
      <c r="A130" s="650"/>
      <c r="B130" s="573"/>
      <c r="C130" s="668"/>
      <c r="D130" s="725"/>
      <c r="E130" s="480"/>
      <c r="F130" s="541" t="s">
        <v>11</v>
      </c>
      <c r="G130" s="542"/>
      <c r="H130" s="543"/>
      <c r="I130" s="7">
        <f t="shared" si="97"/>
        <v>10.5</v>
      </c>
      <c r="J130" s="104">
        <f>SUM(J124:J129)</f>
        <v>9</v>
      </c>
      <c r="K130" s="104">
        <f>SUM(K124:K129)</f>
        <v>0</v>
      </c>
      <c r="L130" s="108">
        <f>SUM(L124:L129)</f>
        <v>1.5</v>
      </c>
      <c r="M130" s="392">
        <f t="shared" ref="M130" si="117">SUM(N130,P130)</f>
        <v>0</v>
      </c>
      <c r="N130" s="118">
        <f>SUM(N124:N129)</f>
        <v>0</v>
      </c>
      <c r="O130" s="118"/>
      <c r="P130" s="24">
        <f>SUM(P124:P129)</f>
        <v>0</v>
      </c>
      <c r="Q130" s="7">
        <f t="shared" ref="Q130" si="118">SUM(R130,T130)</f>
        <v>0</v>
      </c>
      <c r="R130" s="104">
        <f>SUM(R124:R129)</f>
        <v>0</v>
      </c>
      <c r="S130" s="104"/>
      <c r="T130" s="108">
        <f>SUM(T124:T129)</f>
        <v>0</v>
      </c>
      <c r="U130" s="296">
        <f t="shared" ref="U130" si="119">SUM(V130,X130)</f>
        <v>0</v>
      </c>
      <c r="V130" s="104">
        <f>SUM(V124:V129)</f>
        <v>0</v>
      </c>
      <c r="W130" s="104"/>
      <c r="X130" s="108">
        <f>SUM(X124:X129)</f>
        <v>0</v>
      </c>
    </row>
    <row r="131" spans="1:38" ht="20.25" customHeight="1" x14ac:dyDescent="0.2">
      <c r="A131" s="648">
        <v>2</v>
      </c>
      <c r="B131" s="571">
        <v>4</v>
      </c>
      <c r="C131" s="687">
        <v>14</v>
      </c>
      <c r="D131" s="688" t="s">
        <v>116</v>
      </c>
      <c r="E131" s="464" t="s">
        <v>31</v>
      </c>
      <c r="F131" s="544" t="s">
        <v>20</v>
      </c>
      <c r="G131" s="654" t="s">
        <v>75</v>
      </c>
      <c r="H131" s="73" t="s">
        <v>17</v>
      </c>
      <c r="I131" s="432">
        <f>J131+L131</f>
        <v>110.6</v>
      </c>
      <c r="J131" s="179"/>
      <c r="K131" s="179"/>
      <c r="L131" s="159">
        <v>110.6</v>
      </c>
      <c r="M131" s="432"/>
      <c r="N131" s="179"/>
      <c r="O131" s="179"/>
      <c r="P131" s="193"/>
      <c r="Q131" s="294"/>
      <c r="R131" s="9"/>
      <c r="S131" s="9"/>
      <c r="T131" s="27"/>
      <c r="U131" s="96"/>
      <c r="V131" s="95"/>
      <c r="W131" s="95"/>
      <c r="X131" s="107"/>
    </row>
    <row r="132" spans="1:38" ht="20.25" customHeight="1" x14ac:dyDescent="0.2">
      <c r="A132" s="649"/>
      <c r="B132" s="572"/>
      <c r="C132" s="584"/>
      <c r="D132" s="689"/>
      <c r="E132" s="539" t="s">
        <v>73</v>
      </c>
      <c r="F132" s="657"/>
      <c r="G132" s="655"/>
      <c r="H132" s="489" t="s">
        <v>14</v>
      </c>
      <c r="I132" s="160">
        <f t="shared" si="97"/>
        <v>134.80000000000001</v>
      </c>
      <c r="J132" s="161"/>
      <c r="K132" s="161">
        <v>0</v>
      </c>
      <c r="L132" s="387">
        <v>134.80000000000001</v>
      </c>
      <c r="M132" s="160">
        <f>N132+P132</f>
        <v>86.5</v>
      </c>
      <c r="N132" s="218">
        <v>0.9</v>
      </c>
      <c r="O132" s="218">
        <v>0.8</v>
      </c>
      <c r="P132" s="385">
        <v>85.6</v>
      </c>
      <c r="Q132" s="316">
        <f>R132+T132</f>
        <v>0</v>
      </c>
      <c r="R132" s="233"/>
      <c r="S132" s="233"/>
      <c r="T132" s="344"/>
      <c r="U132" s="96"/>
      <c r="V132" s="95"/>
      <c r="W132" s="95"/>
      <c r="X132" s="107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</row>
    <row r="133" spans="1:38" ht="22.5" customHeight="1" x14ac:dyDescent="0.2">
      <c r="A133" s="649"/>
      <c r="B133" s="572"/>
      <c r="C133" s="584"/>
      <c r="D133" s="689"/>
      <c r="E133" s="539"/>
      <c r="F133" s="657"/>
      <c r="G133" s="655"/>
      <c r="H133" s="489" t="s">
        <v>17</v>
      </c>
      <c r="I133" s="160">
        <f t="shared" si="97"/>
        <v>147.9</v>
      </c>
      <c r="J133" s="161"/>
      <c r="K133" s="161">
        <v>0</v>
      </c>
      <c r="L133" s="387">
        <v>147.9</v>
      </c>
      <c r="M133" s="160">
        <f>N133+P133</f>
        <v>158.4</v>
      </c>
      <c r="N133" s="218">
        <v>4.3</v>
      </c>
      <c r="O133" s="218">
        <v>4.2</v>
      </c>
      <c r="P133" s="385">
        <v>154.1</v>
      </c>
      <c r="Q133" s="294"/>
      <c r="R133" s="9"/>
      <c r="S133" s="9"/>
      <c r="T133" s="27"/>
      <c r="U133" s="96"/>
      <c r="V133" s="95"/>
      <c r="W133" s="95"/>
      <c r="X133" s="107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</row>
    <row r="134" spans="1:38" ht="22.5" customHeight="1" thickBot="1" x14ac:dyDescent="0.25">
      <c r="A134" s="649"/>
      <c r="B134" s="572"/>
      <c r="C134" s="584"/>
      <c r="D134" s="689"/>
      <c r="E134" s="539"/>
      <c r="F134" s="545"/>
      <c r="G134" s="656"/>
      <c r="H134" s="492" t="s">
        <v>138</v>
      </c>
      <c r="I134" s="494"/>
      <c r="J134" s="495"/>
      <c r="K134" s="495"/>
      <c r="L134" s="496"/>
      <c r="M134" s="497">
        <v>73.599999999999994</v>
      </c>
      <c r="N134" s="498"/>
      <c r="O134" s="498"/>
      <c r="P134" s="499">
        <v>73.599999999999994</v>
      </c>
      <c r="Q134" s="66"/>
      <c r="R134" s="62"/>
      <c r="S134" s="62"/>
      <c r="T134" s="245"/>
      <c r="U134" s="63"/>
      <c r="V134" s="62"/>
      <c r="W134" s="62"/>
      <c r="X134" s="245"/>
      <c r="Y134" s="471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</row>
    <row r="135" spans="1:38" s="347" customFormat="1" ht="21" customHeight="1" thickBot="1" x14ac:dyDescent="0.25">
      <c r="A135" s="650"/>
      <c r="B135" s="573"/>
      <c r="C135" s="615"/>
      <c r="D135" s="689"/>
      <c r="E135" s="345"/>
      <c r="F135" s="681" t="s">
        <v>11</v>
      </c>
      <c r="G135" s="682"/>
      <c r="H135" s="683"/>
      <c r="I135" s="487">
        <f>SUM(I131:I133)</f>
        <v>393.3</v>
      </c>
      <c r="J135" s="486">
        <f>SUM(J131:J133)</f>
        <v>0</v>
      </c>
      <c r="K135" s="487">
        <f>SUM(K131:K133)</f>
        <v>0</v>
      </c>
      <c r="L135" s="488">
        <f>SUM(L131:L133)</f>
        <v>393.3</v>
      </c>
      <c r="M135" s="485">
        <f>SUM(M131:M134)</f>
        <v>318.5</v>
      </c>
      <c r="N135" s="486">
        <f>N131+N132+N133</f>
        <v>5.2</v>
      </c>
      <c r="O135" s="486">
        <f>O131+O132+O133</f>
        <v>5</v>
      </c>
      <c r="P135" s="488">
        <f>SUM(P131:P134)</f>
        <v>313.29999999999995</v>
      </c>
      <c r="Q135" s="349">
        <f>SUM(Q131:Q133)</f>
        <v>0</v>
      </c>
      <c r="R135" s="350"/>
      <c r="S135" s="350"/>
      <c r="T135" s="352">
        <f>T131+T132+T133</f>
        <v>0</v>
      </c>
      <c r="U135" s="353">
        <f>SUM(U131:U133)</f>
        <v>0</v>
      </c>
      <c r="V135" s="350"/>
      <c r="W135" s="350"/>
      <c r="X135" s="352">
        <f>X131+X132+X133</f>
        <v>0</v>
      </c>
      <c r="Y135" s="346"/>
    </row>
    <row r="136" spans="1:38" ht="26.25" customHeight="1" x14ac:dyDescent="0.2">
      <c r="A136" s="648">
        <v>2</v>
      </c>
      <c r="B136" s="651">
        <v>4</v>
      </c>
      <c r="C136" s="545">
        <v>15</v>
      </c>
      <c r="D136" s="690" t="s">
        <v>126</v>
      </c>
      <c r="E136" s="604" t="s">
        <v>113</v>
      </c>
      <c r="F136" s="584" t="s">
        <v>20</v>
      </c>
      <c r="G136" s="693" t="s">
        <v>127</v>
      </c>
      <c r="H136" s="493" t="s">
        <v>163</v>
      </c>
      <c r="I136" s="188">
        <f>J136+L136</f>
        <v>0</v>
      </c>
      <c r="J136" s="153"/>
      <c r="K136" s="139"/>
      <c r="L136" s="159"/>
      <c r="M136" s="45">
        <f>N136+P136</f>
        <v>0</v>
      </c>
      <c r="N136" s="48"/>
      <c r="O136" s="46"/>
      <c r="P136" s="59">
        <f>260-260</f>
        <v>0</v>
      </c>
      <c r="Q136" s="188">
        <f>R136+T136</f>
        <v>400</v>
      </c>
      <c r="R136" s="153"/>
      <c r="S136" s="139"/>
      <c r="T136" s="159">
        <v>400</v>
      </c>
      <c r="U136" s="225">
        <f>V136+X136</f>
        <v>0</v>
      </c>
      <c r="V136" s="218"/>
      <c r="W136" s="218"/>
      <c r="X136" s="312">
        <v>0</v>
      </c>
      <c r="Y136" s="339"/>
      <c r="Z136" s="279"/>
      <c r="AA136" s="279"/>
      <c r="AB136" s="279"/>
      <c r="AC136" s="279"/>
      <c r="AD136" s="279"/>
      <c r="AE136" s="279"/>
      <c r="AF136" s="279"/>
      <c r="AG136" s="279"/>
      <c r="AH136" s="279"/>
      <c r="AI136" s="279"/>
      <c r="AJ136" s="279"/>
      <c r="AK136" s="279"/>
      <c r="AL136" s="279"/>
    </row>
    <row r="137" spans="1:38" ht="14.25" customHeight="1" x14ac:dyDescent="0.2">
      <c r="A137" s="649"/>
      <c r="B137" s="652"/>
      <c r="C137" s="575"/>
      <c r="D137" s="691"/>
      <c r="E137" s="596"/>
      <c r="F137" s="584"/>
      <c r="G137" s="693"/>
      <c r="H137" s="420" t="s">
        <v>141</v>
      </c>
      <c r="I137" s="188"/>
      <c r="J137" s="168"/>
      <c r="K137" s="421"/>
      <c r="L137" s="422"/>
      <c r="M137" s="45">
        <f>N137+P137</f>
        <v>0</v>
      </c>
      <c r="N137" s="100"/>
      <c r="O137" s="434"/>
      <c r="P137" s="224">
        <f>140-140</f>
        <v>0</v>
      </c>
      <c r="Q137" s="188"/>
      <c r="R137" s="168"/>
      <c r="S137" s="421"/>
      <c r="T137" s="422"/>
      <c r="U137" s="304"/>
      <c r="V137" s="219"/>
      <c r="W137" s="219"/>
      <c r="X137" s="311"/>
      <c r="Y137" s="390"/>
      <c r="Z137" s="279"/>
      <c r="AA137" s="279"/>
      <c r="AB137" s="279"/>
      <c r="AC137" s="279"/>
      <c r="AD137" s="279"/>
      <c r="AE137" s="279"/>
      <c r="AF137" s="279"/>
      <c r="AG137" s="279"/>
      <c r="AH137" s="279"/>
      <c r="AI137" s="279"/>
      <c r="AJ137" s="279"/>
      <c r="AK137" s="279"/>
      <c r="AL137" s="279"/>
    </row>
    <row r="138" spans="1:38" ht="15.75" customHeight="1" thickBot="1" x14ac:dyDescent="0.25">
      <c r="A138" s="649"/>
      <c r="B138" s="652"/>
      <c r="C138" s="575"/>
      <c r="D138" s="691"/>
      <c r="E138" s="597"/>
      <c r="F138" s="584"/>
      <c r="G138" s="693"/>
      <c r="H138" s="386" t="s">
        <v>14</v>
      </c>
      <c r="I138" s="160">
        <f t="shared" ref="I138" si="120">SUM(J138,L138)</f>
        <v>0</v>
      </c>
      <c r="J138" s="161"/>
      <c r="K138" s="161"/>
      <c r="L138" s="387">
        <v>0</v>
      </c>
      <c r="M138" s="45">
        <f>SUM(N138,P138)</f>
        <v>50</v>
      </c>
      <c r="N138" s="51">
        <v>50</v>
      </c>
      <c r="O138" s="51"/>
      <c r="P138" s="58">
        <v>0</v>
      </c>
      <c r="Q138" s="188">
        <f>R138+T138</f>
        <v>650</v>
      </c>
      <c r="R138" s="161">
        <v>250</v>
      </c>
      <c r="S138" s="161"/>
      <c r="T138" s="387">
        <v>400</v>
      </c>
      <c r="U138" s="388"/>
      <c r="V138" s="389"/>
      <c r="W138" s="389"/>
      <c r="X138" s="313">
        <v>0</v>
      </c>
      <c r="Y138" s="339"/>
      <c r="Z138" s="282"/>
      <c r="AA138" s="282"/>
      <c r="AB138" s="282"/>
      <c r="AC138" s="282"/>
      <c r="AD138" s="282"/>
      <c r="AE138" s="282"/>
      <c r="AF138" s="282"/>
      <c r="AG138" s="282"/>
      <c r="AH138" s="282"/>
      <c r="AI138" s="282"/>
      <c r="AJ138" s="282"/>
      <c r="AK138" s="282"/>
      <c r="AL138" s="282"/>
    </row>
    <row r="139" spans="1:38" s="347" customFormat="1" ht="21" customHeight="1" thickBot="1" x14ac:dyDescent="0.25">
      <c r="A139" s="649"/>
      <c r="B139" s="652"/>
      <c r="C139" s="605"/>
      <c r="D139" s="692"/>
      <c r="E139" s="348"/>
      <c r="F139" s="681" t="s">
        <v>11</v>
      </c>
      <c r="G139" s="682"/>
      <c r="H139" s="683"/>
      <c r="I139" s="349">
        <f>J139+L139</f>
        <v>0</v>
      </c>
      <c r="J139" s="350">
        <f>SUM(J135:J138)</f>
        <v>0</v>
      </c>
      <c r="K139" s="351">
        <f>SUM(K135:K138)</f>
        <v>0</v>
      </c>
      <c r="L139" s="352">
        <f>L136+L138</f>
        <v>0</v>
      </c>
      <c r="M139" s="349">
        <f>P139+N139</f>
        <v>50</v>
      </c>
      <c r="N139" s="350">
        <f>N136+N138+N137</f>
        <v>50</v>
      </c>
      <c r="O139" s="350"/>
      <c r="P139" s="352">
        <f>P136+P138+P137</f>
        <v>0</v>
      </c>
      <c r="Q139" s="349">
        <f>T139+R139</f>
        <v>1050</v>
      </c>
      <c r="R139" s="350">
        <f>R136+R138</f>
        <v>250</v>
      </c>
      <c r="S139" s="350"/>
      <c r="T139" s="352">
        <f>T136+T138</f>
        <v>800</v>
      </c>
      <c r="U139" s="349">
        <f>X139+V139</f>
        <v>0</v>
      </c>
      <c r="V139" s="350">
        <f>V136+V138</f>
        <v>0</v>
      </c>
      <c r="W139" s="350"/>
      <c r="X139" s="352">
        <f>X136+X138</f>
        <v>0</v>
      </c>
      <c r="Y139" s="346"/>
    </row>
    <row r="140" spans="1:38" s="347" customFormat="1" ht="12.75" customHeight="1" thickBot="1" x14ac:dyDescent="0.25">
      <c r="A140" s="650"/>
      <c r="B140" s="653"/>
      <c r="C140" s="678" t="s">
        <v>9</v>
      </c>
      <c r="D140" s="679"/>
      <c r="E140" s="679"/>
      <c r="F140" s="679"/>
      <c r="G140" s="679"/>
      <c r="H140" s="680"/>
      <c r="I140" s="354">
        <f>J140+L140</f>
        <v>1418.8000000000002</v>
      </c>
      <c r="J140" s="354">
        <f>J135+J130+J123+J121+J119+J117+J115+J112+J110+J108+J106+J104+J102+J100+J139</f>
        <v>1001.7</v>
      </c>
      <c r="K140" s="354">
        <f>K135+K130+K123+K121+K119+K117+K115+K112+K110+K108+K106+K104+K102+K100+K139</f>
        <v>645.80000000000007</v>
      </c>
      <c r="L140" s="354">
        <f>L135+L130+L123+L121+L119+L117+L115+L112+L110+L108+L106+L104+L102+L100+L139</f>
        <v>417.1</v>
      </c>
      <c r="M140" s="355">
        <f>N140+P140</f>
        <v>1622.1999999999998</v>
      </c>
      <c r="N140" s="354">
        <f>N135+N130+N123+N121+N119+N117+N115+N112+N110+N108+N106+N104+N102+N100+N139</f>
        <v>1221.3</v>
      </c>
      <c r="O140" s="354">
        <f>O135+O130+O123+O121+O119+O117+O115+O112+O110+O108+O106+O104+O102+O100+O139</f>
        <v>713.99999999999989</v>
      </c>
      <c r="P140" s="354">
        <f>P135+P130+P123+P121+P119+P117+P115+P112+P110+P108+P106+P104+P102+P100+P139</f>
        <v>400.9</v>
      </c>
      <c r="Q140" s="354">
        <f>R140+T140</f>
        <v>2189.9</v>
      </c>
      <c r="R140" s="354">
        <f>R135+R130+R123+R121+R119+R117+R115+R112+R110+R108+R106+R104+R102+R100+R139</f>
        <v>1354.9</v>
      </c>
      <c r="S140" s="354">
        <f>S135+S130+S123+S121+S119+S117+S115+S112+S110+S108+S106+S104+S102+S100+S139</f>
        <v>722.9</v>
      </c>
      <c r="T140" s="502">
        <f>T135+T130+T123+T121+T119+T117+T115+T112+T110+T108+T106+T104+T102+T100+T139</f>
        <v>835</v>
      </c>
      <c r="U140" s="355">
        <f>V140+X140</f>
        <v>1129.9000000000001</v>
      </c>
      <c r="V140" s="354">
        <f>V135+V130+V123+V121+V119+V117+V115+V112+V110+V108+V106+V104+V102+V100+V139</f>
        <v>1104.9000000000001</v>
      </c>
      <c r="W140" s="354">
        <f>W135+W130+W123+W121+W119+W117+W115+W112+W110+W108+W106+W104+W102+W100+W139</f>
        <v>722.9</v>
      </c>
      <c r="X140" s="503">
        <f>X135+X130+X123+X121+X119+X117+X115+X112+X110+X108+X106+X104+X102+X100+X139</f>
        <v>25</v>
      </c>
      <c r="Y140" s="346"/>
    </row>
    <row r="141" spans="1:38" s="347" customFormat="1" ht="12.75" customHeight="1" thickBot="1" x14ac:dyDescent="0.25">
      <c r="A141" s="356">
        <v>2</v>
      </c>
      <c r="B141" s="664" t="s">
        <v>10</v>
      </c>
      <c r="C141" s="665"/>
      <c r="D141" s="665"/>
      <c r="E141" s="665"/>
      <c r="F141" s="665"/>
      <c r="G141" s="665"/>
      <c r="H141" s="666"/>
      <c r="I141" s="357">
        <f t="shared" si="97"/>
        <v>3946.7</v>
      </c>
      <c r="J141" s="358">
        <f>SUM(J140,J97,J71,J91)</f>
        <v>3293.6</v>
      </c>
      <c r="K141" s="358">
        <f>SUM(K140,K97,K71,K91)</f>
        <v>680.30000000000007</v>
      </c>
      <c r="L141" s="358">
        <f>SUM(L140,L97,L71,L91)</f>
        <v>653.1</v>
      </c>
      <c r="M141" s="357">
        <f t="shared" ref="M141:M142" si="121">SUM(N141,P141)</f>
        <v>4527.8</v>
      </c>
      <c r="N141" s="358">
        <f t="shared" ref="N141:X141" si="122">SUM(N140,N97,N71,N91)</f>
        <v>3652.1000000000004</v>
      </c>
      <c r="O141" s="358">
        <f t="shared" si="122"/>
        <v>729.99999999999989</v>
      </c>
      <c r="P141" s="359">
        <f t="shared" si="122"/>
        <v>875.7</v>
      </c>
      <c r="Q141" s="360">
        <f t="shared" si="122"/>
        <v>4666.8</v>
      </c>
      <c r="R141" s="358">
        <f t="shared" si="122"/>
        <v>3421.8</v>
      </c>
      <c r="S141" s="358">
        <f t="shared" si="122"/>
        <v>722.9</v>
      </c>
      <c r="T141" s="361">
        <f t="shared" si="122"/>
        <v>1245</v>
      </c>
      <c r="U141" s="357">
        <f t="shared" si="122"/>
        <v>3172.9</v>
      </c>
      <c r="V141" s="358">
        <f t="shared" si="122"/>
        <v>3147.9</v>
      </c>
      <c r="W141" s="358">
        <f t="shared" si="122"/>
        <v>722.9</v>
      </c>
      <c r="X141" s="359">
        <f t="shared" si="122"/>
        <v>25</v>
      </c>
      <c r="Y141" s="346"/>
    </row>
    <row r="142" spans="1:38" s="347" customFormat="1" ht="12.75" customHeight="1" thickBot="1" x14ac:dyDescent="0.25">
      <c r="A142" s="684" t="s">
        <v>28</v>
      </c>
      <c r="B142" s="685"/>
      <c r="C142" s="685"/>
      <c r="D142" s="685"/>
      <c r="E142" s="685"/>
      <c r="F142" s="685"/>
      <c r="G142" s="685"/>
      <c r="H142" s="686"/>
      <c r="I142" s="362">
        <f t="shared" si="97"/>
        <v>8009.9</v>
      </c>
      <c r="J142" s="363">
        <f>J62+J141</f>
        <v>3334.2999999999997</v>
      </c>
      <c r="K142" s="363">
        <f>K62+K141</f>
        <v>680.30000000000007</v>
      </c>
      <c r="L142" s="364">
        <f>L62+L141</f>
        <v>4675.5999999999995</v>
      </c>
      <c r="M142" s="362">
        <f t="shared" si="121"/>
        <v>8021.6</v>
      </c>
      <c r="N142" s="363">
        <f>N62+N141</f>
        <v>3757.6000000000004</v>
      </c>
      <c r="O142" s="363">
        <f>O62+O141</f>
        <v>729.99999999999989</v>
      </c>
      <c r="P142" s="364">
        <f>P62+P141</f>
        <v>4264</v>
      </c>
      <c r="Q142" s="362">
        <f t="shared" ref="Q142" si="123">SUM(R142,T142)</f>
        <v>5724.1</v>
      </c>
      <c r="R142" s="363">
        <f>R62+R141</f>
        <v>3464.7000000000003</v>
      </c>
      <c r="S142" s="363">
        <f>S62+S141</f>
        <v>722.9</v>
      </c>
      <c r="T142" s="365">
        <f>T62+T141</f>
        <v>2259.4</v>
      </c>
      <c r="U142" s="366">
        <f t="shared" ref="U142" si="124">SUM(V142,X142)</f>
        <v>3522.9</v>
      </c>
      <c r="V142" s="367">
        <f>V62+V141</f>
        <v>3147.9</v>
      </c>
      <c r="W142" s="367">
        <f>W62+W141</f>
        <v>722.9</v>
      </c>
      <c r="X142" s="368">
        <f>X62+X141</f>
        <v>375</v>
      </c>
      <c r="Y142" s="523"/>
      <c r="Z142" s="523"/>
      <c r="AA142" s="523"/>
      <c r="AB142" s="523"/>
      <c r="AC142" s="523"/>
      <c r="AD142" s="523"/>
      <c r="AE142" s="523"/>
      <c r="AF142" s="523"/>
    </row>
    <row r="143" spans="1:38" ht="18.75" customHeight="1" x14ac:dyDescent="0.2">
      <c r="A143" s="675" t="s">
        <v>82</v>
      </c>
      <c r="B143" s="676"/>
      <c r="C143" s="676"/>
      <c r="D143" s="676"/>
      <c r="E143" s="676"/>
      <c r="F143" s="676"/>
      <c r="G143" s="676"/>
      <c r="H143" s="677"/>
      <c r="I143" s="199">
        <f>L143+J143</f>
        <v>1849.2</v>
      </c>
      <c r="J143" s="461">
        <f>J132+J129+J128+J127+J126+J125+J124+J122+J120+J118+J116+J113+J111+J109+J107+J105+J103+J101+J99+J95+J93+J85+J80+J78+J68+J65+J53+J51+J49+J45+J43+J41+J39+J34+J31+J14+J12+J138</f>
        <v>1096.5</v>
      </c>
      <c r="K143" s="461">
        <f>K132+K129+K128+K127+K126+K125+K124+K122+K120+K118+K116+K113+K111+K109+K107+K105+K103+K101+K99+K95+K93+K85+K80+K78+K68+K65+K53+K51+K49+K45+K43+K41+K39+K34+K31+K14+K12+K138</f>
        <v>661.2</v>
      </c>
      <c r="L143" s="369">
        <f>L132+L129+L128+L127+L126+L125+L124+L122+L120+L118+L116+L113+L111+L109+L107+L105+L103+L101+L99+L95+L93+L85+L80+L78+L68+L65+L53+L51+L49+L45+L43+L41+L39+L34+L31+L14+L12+L138</f>
        <v>752.7</v>
      </c>
      <c r="M143" s="199">
        <f>SUM(P143,N143)</f>
        <v>1777.5</v>
      </c>
      <c r="N143" s="461">
        <f>N132+N129+N128+N127+N126+N125+N124+N122+N120+N118+N116+N113+N111+N109+N107+N105+N103+N101+N99+N95+N93+N85+N80+N78+N68+N65+N53+N51+N49+N45+N43+N41+N39+N34+N31+N14+N12+N138+N55+N59</f>
        <v>1349.6</v>
      </c>
      <c r="O143" s="461">
        <f t="shared" ref="O143:P143" si="125">O132+O129+O128+O127+O126+O125+O124+O122+O120+O118+O116+O113+O111+O109+O107+O105+O103+O101+O99+O95+O93+O85+O80+O78+O68+O65+O53+O51+O49+O45+O43+O41+O39+O34+O31+O14+O12+O138+O55+O59</f>
        <v>715.79999999999984</v>
      </c>
      <c r="P143" s="461">
        <f t="shared" si="125"/>
        <v>427.9</v>
      </c>
      <c r="Q143" s="199">
        <f>R143+T143</f>
        <v>2806.9000000000005</v>
      </c>
      <c r="R143" s="461">
        <f>R132+R129+R128+R127+R126+R125+R124+R122+R120+R118+R116+R113+R111+R109+R107+R105+R103+R101+R99+R95+R93+R85+R80+R78+R68+R65+R53+R51+R49+R45+R43+R41+R39+R34+R31+R14+R12+R138+R55+R59</f>
        <v>1411.7000000000003</v>
      </c>
      <c r="S143" s="461">
        <f t="shared" ref="S143" si="126">S132+S129+S128+S127+S126+S125+S124+S122+S120+S118+S116+S113+S111+S109+S107+S105+S103+S101+S99+S95+S93+S85+S80+S78+S68+S65+S53+S51+S49+S45+S43+S41+S39+S34+S31+S14+S12+S138+S55+S59</f>
        <v>722.9</v>
      </c>
      <c r="T143" s="461">
        <f>T132+T129+T128+T127+T126+T125+T124+T122+T120+T118+T116+T113+T111+T109+T107+T105+T103+T101+T99+T95+T93+T85+T80+T78+T68+T65+T53+T51+T49+T45+T43+T41+T39+T34+T31+T14+T12+T138+T55+T59+T57</f>
        <v>1395.2</v>
      </c>
      <c r="U143" s="199">
        <f>V143+X143</f>
        <v>1469.9</v>
      </c>
      <c r="V143" s="461">
        <f>V132+V129+V128+V127+V126+V125+V124+V122+V120+V118+V116+V113+V111+V109+V107+V105+V103+V101+V99+V95+V93+V85+V80+V78+V68+V65+V53+V51+V49+V45+V43+V41+V39+V34+V31+V14+V12+V138+V55+V59</f>
        <v>1094.9000000000001</v>
      </c>
      <c r="W143" s="461">
        <f t="shared" ref="W143:X143" si="127">W132+W129+W128+W127+W126+W125+W124+W122+W120+W118+W116+W113+W111+W109+W107+W105+W103+W101+W99+W95+W93+W85+W80+W78+W68+W65+W53+W51+W49+W45+W43+W41+W39+W34+W31+W14+W12+W138+W55+W59</f>
        <v>722.9</v>
      </c>
      <c r="X143" s="461">
        <f t="shared" si="127"/>
        <v>375</v>
      </c>
      <c r="Y143" s="523"/>
      <c r="Z143" s="523"/>
      <c r="AA143" s="523"/>
      <c r="AB143" s="523"/>
      <c r="AC143" s="523"/>
      <c r="AD143" s="523"/>
      <c r="AE143" s="523"/>
      <c r="AF143" s="523"/>
    </row>
    <row r="144" spans="1:38" ht="13.5" customHeight="1" x14ac:dyDescent="0.2">
      <c r="A144" s="661" t="s">
        <v>83</v>
      </c>
      <c r="B144" s="662"/>
      <c r="C144" s="662"/>
      <c r="D144" s="662"/>
      <c r="E144" s="662"/>
      <c r="F144" s="662"/>
      <c r="G144" s="662"/>
      <c r="H144" s="663"/>
      <c r="I144" s="145">
        <f t="shared" ref="I144:X144" si="128">I73</f>
        <v>201.3</v>
      </c>
      <c r="J144" s="1">
        <f t="shared" si="128"/>
        <v>201.3</v>
      </c>
      <c r="K144" s="1">
        <f t="shared" si="128"/>
        <v>0</v>
      </c>
      <c r="L144" s="132">
        <f t="shared" si="128"/>
        <v>0</v>
      </c>
      <c r="M144" s="145">
        <f t="shared" si="128"/>
        <v>251.7</v>
      </c>
      <c r="N144" s="1">
        <f t="shared" si="128"/>
        <v>201.7</v>
      </c>
      <c r="O144" s="1">
        <f t="shared" si="128"/>
        <v>0</v>
      </c>
      <c r="P144" s="518">
        <f t="shared" si="128"/>
        <v>50</v>
      </c>
      <c r="Q144" s="145">
        <f t="shared" si="128"/>
        <v>205</v>
      </c>
      <c r="R144" s="1">
        <f t="shared" si="128"/>
        <v>205</v>
      </c>
      <c r="S144" s="1">
        <f t="shared" si="128"/>
        <v>0</v>
      </c>
      <c r="T144" s="178">
        <f t="shared" si="128"/>
        <v>0</v>
      </c>
      <c r="U144" s="145">
        <f t="shared" si="128"/>
        <v>205</v>
      </c>
      <c r="V144" s="1">
        <f t="shared" si="128"/>
        <v>205</v>
      </c>
      <c r="W144" s="1">
        <f t="shared" si="128"/>
        <v>0</v>
      </c>
      <c r="X144" s="132">
        <f t="shared" si="128"/>
        <v>0</v>
      </c>
      <c r="Y144" s="523"/>
      <c r="Z144" s="523"/>
      <c r="AA144" s="523"/>
      <c r="AB144" s="523"/>
      <c r="AC144" s="523"/>
      <c r="AD144" s="523"/>
      <c r="AE144" s="523"/>
      <c r="AF144" s="523"/>
    </row>
    <row r="145" spans="1:32" ht="12.75" customHeight="1" x14ac:dyDescent="0.2">
      <c r="A145" s="661" t="s">
        <v>84</v>
      </c>
      <c r="B145" s="662"/>
      <c r="C145" s="662"/>
      <c r="D145" s="662"/>
      <c r="E145" s="662"/>
      <c r="F145" s="662"/>
      <c r="G145" s="662"/>
      <c r="H145" s="663"/>
      <c r="I145" s="145">
        <f t="shared" ref="I145:X145" si="129">I74</f>
        <v>56.7</v>
      </c>
      <c r="J145" s="1">
        <f t="shared" si="129"/>
        <v>56.7</v>
      </c>
      <c r="K145" s="1">
        <f t="shared" si="129"/>
        <v>0</v>
      </c>
      <c r="L145" s="132">
        <f t="shared" si="129"/>
        <v>0</v>
      </c>
      <c r="M145" s="145">
        <f t="shared" si="129"/>
        <v>52.6</v>
      </c>
      <c r="N145" s="1">
        <f t="shared" si="129"/>
        <v>52.6</v>
      </c>
      <c r="O145" s="1">
        <f t="shared" si="129"/>
        <v>0</v>
      </c>
      <c r="P145" s="518">
        <f t="shared" si="129"/>
        <v>0</v>
      </c>
      <c r="Q145" s="145">
        <f t="shared" si="129"/>
        <v>0</v>
      </c>
      <c r="R145" s="1">
        <f t="shared" si="129"/>
        <v>0</v>
      </c>
      <c r="S145" s="1">
        <f t="shared" si="129"/>
        <v>0</v>
      </c>
      <c r="T145" s="132">
        <f t="shared" si="129"/>
        <v>0</v>
      </c>
      <c r="U145" s="145">
        <f t="shared" si="129"/>
        <v>0</v>
      </c>
      <c r="V145" s="1">
        <f t="shared" si="129"/>
        <v>0</v>
      </c>
      <c r="W145" s="1">
        <f t="shared" si="129"/>
        <v>0</v>
      </c>
      <c r="X145" s="132">
        <f t="shared" si="129"/>
        <v>0</v>
      </c>
      <c r="Y145" s="523"/>
      <c r="Z145" s="523"/>
      <c r="AA145" s="523"/>
      <c r="AB145" s="523"/>
      <c r="AC145" s="523"/>
      <c r="AD145" s="523"/>
      <c r="AE145" s="523"/>
      <c r="AF145" s="523"/>
    </row>
    <row r="146" spans="1:32" ht="12" customHeight="1" x14ac:dyDescent="0.2">
      <c r="A146" s="661" t="s">
        <v>85</v>
      </c>
      <c r="B146" s="662"/>
      <c r="C146" s="662"/>
      <c r="D146" s="662"/>
      <c r="E146" s="662"/>
      <c r="F146" s="662"/>
      <c r="G146" s="662"/>
      <c r="H146" s="663"/>
      <c r="I146" s="146">
        <f t="shared" ref="I146" si="130">J146+L146</f>
        <v>405.40000000000003</v>
      </c>
      <c r="J146" s="2">
        <f>J133+J82+J67+J131</f>
        <v>19.8</v>
      </c>
      <c r="K146" s="2">
        <f>K133+K82+K67+K131</f>
        <v>19.100000000000001</v>
      </c>
      <c r="L146" s="131">
        <f>L133+L82+L67+L131</f>
        <v>385.6</v>
      </c>
      <c r="M146" s="146">
        <f t="shared" ref="M146" si="131">N146+P146</f>
        <v>170.6</v>
      </c>
      <c r="N146" s="2">
        <f>N133+N82+N67+N131</f>
        <v>12.7</v>
      </c>
      <c r="O146" s="2">
        <f>O133+O82+O67+O131</f>
        <v>14.2</v>
      </c>
      <c r="P146" s="519">
        <f>P133+P82+P67+P131</f>
        <v>157.9</v>
      </c>
      <c r="Q146" s="146">
        <f t="shared" ref="Q146" si="132">R146+T146</f>
        <v>222.4</v>
      </c>
      <c r="R146" s="2">
        <f>R133+R82+R67+R131</f>
        <v>0</v>
      </c>
      <c r="S146" s="2">
        <f>S133+S82+S67+S131</f>
        <v>0</v>
      </c>
      <c r="T146" s="131">
        <f>T133+T82+T67+T131</f>
        <v>222.4</v>
      </c>
      <c r="U146" s="146">
        <f t="shared" ref="U146" si="133">V146+X146</f>
        <v>0</v>
      </c>
      <c r="V146" s="2">
        <f>V133+V82+V67+V131</f>
        <v>0</v>
      </c>
      <c r="W146" s="2">
        <f>W133+W82+W67+W131</f>
        <v>0</v>
      </c>
      <c r="X146" s="131">
        <f>X133+X82+X67+X131</f>
        <v>0</v>
      </c>
      <c r="Y146" s="523"/>
      <c r="Z146" s="523"/>
      <c r="AA146" s="523"/>
      <c r="AB146" s="523"/>
      <c r="AC146" s="523"/>
      <c r="AD146" s="523"/>
      <c r="AE146" s="523"/>
      <c r="AF146" s="523"/>
    </row>
    <row r="147" spans="1:32" ht="13.5" customHeight="1" x14ac:dyDescent="0.2">
      <c r="A147" s="661" t="s">
        <v>86</v>
      </c>
      <c r="B147" s="662"/>
      <c r="C147" s="662"/>
      <c r="D147" s="662"/>
      <c r="E147" s="662"/>
      <c r="F147" s="662"/>
      <c r="G147" s="662"/>
      <c r="H147" s="663"/>
      <c r="I147" s="146">
        <f>SUM(J147,L147)</f>
        <v>10</v>
      </c>
      <c r="J147" s="2">
        <f>J114</f>
        <v>10</v>
      </c>
      <c r="K147" s="2">
        <f>K114</f>
        <v>0</v>
      </c>
      <c r="L147" s="131">
        <f>L114</f>
        <v>0</v>
      </c>
      <c r="M147" s="146">
        <f>SUM(N147,P147)</f>
        <v>10</v>
      </c>
      <c r="N147" s="2">
        <f>N114</f>
        <v>10</v>
      </c>
      <c r="O147" s="2">
        <f>O114</f>
        <v>0</v>
      </c>
      <c r="P147" s="519">
        <f>P114</f>
        <v>0</v>
      </c>
      <c r="Q147" s="146">
        <f>SUM(R147,T147)</f>
        <v>10</v>
      </c>
      <c r="R147" s="2">
        <f>R114</f>
        <v>10</v>
      </c>
      <c r="S147" s="2">
        <f>S114</f>
        <v>0</v>
      </c>
      <c r="T147" s="131">
        <f>T114</f>
        <v>0</v>
      </c>
      <c r="U147" s="146">
        <f>SUM(V147,X147)</f>
        <v>10</v>
      </c>
      <c r="V147" s="2">
        <f>V114</f>
        <v>10</v>
      </c>
      <c r="W147" s="2">
        <f>W114</f>
        <v>0</v>
      </c>
      <c r="X147" s="131">
        <f>X114</f>
        <v>0</v>
      </c>
      <c r="Y147" s="523"/>
      <c r="Z147" s="523"/>
      <c r="AA147" s="523"/>
      <c r="AB147" s="523"/>
      <c r="AC147" s="523"/>
      <c r="AD147" s="523"/>
      <c r="AE147" s="523"/>
      <c r="AF147" s="523"/>
    </row>
    <row r="148" spans="1:32" ht="13.5" customHeight="1" x14ac:dyDescent="0.2">
      <c r="A148" s="661" t="s">
        <v>87</v>
      </c>
      <c r="B148" s="662"/>
      <c r="C148" s="662"/>
      <c r="D148" s="662"/>
      <c r="E148" s="662"/>
      <c r="F148" s="662"/>
      <c r="G148" s="662"/>
      <c r="H148" s="663"/>
      <c r="I148" s="146">
        <f>J148+L148</f>
        <v>32.6</v>
      </c>
      <c r="J148" s="2">
        <f>J84+J81</f>
        <v>0</v>
      </c>
      <c r="K148" s="2">
        <f>K84+K81</f>
        <v>0</v>
      </c>
      <c r="L148" s="131">
        <f>L84+L81</f>
        <v>32.6</v>
      </c>
      <c r="M148" s="146">
        <f>N148+P148</f>
        <v>38.6</v>
      </c>
      <c r="N148" s="2">
        <f>N84+N81+N89</f>
        <v>31</v>
      </c>
      <c r="O148" s="2">
        <f t="shared" ref="O148:P148" si="134">O84+O81+O89</f>
        <v>0</v>
      </c>
      <c r="P148" s="519">
        <f t="shared" si="134"/>
        <v>7.6</v>
      </c>
      <c r="Q148" s="146">
        <f>R148+T148</f>
        <v>54</v>
      </c>
      <c r="R148" s="2">
        <f>R84+R81</f>
        <v>38</v>
      </c>
      <c r="S148" s="2">
        <f>S84+S81</f>
        <v>0</v>
      </c>
      <c r="T148" s="131">
        <f>T84+T81</f>
        <v>16</v>
      </c>
      <c r="U148" s="146">
        <f>V148+X148</f>
        <v>38</v>
      </c>
      <c r="V148" s="2">
        <f>V84+V81</f>
        <v>38</v>
      </c>
      <c r="W148" s="2">
        <f>W84+W81</f>
        <v>0</v>
      </c>
      <c r="X148" s="131">
        <f>X84+X81</f>
        <v>0</v>
      </c>
      <c r="Y148" s="523"/>
      <c r="Z148" s="523"/>
      <c r="AA148" s="523"/>
      <c r="AB148" s="523"/>
      <c r="AC148" s="523"/>
      <c r="AD148" s="523"/>
      <c r="AE148" s="523"/>
      <c r="AF148" s="523"/>
    </row>
    <row r="149" spans="1:32" ht="13.5" hidden="1" customHeight="1" x14ac:dyDescent="0.2">
      <c r="A149" s="661" t="s">
        <v>97</v>
      </c>
      <c r="B149" s="662"/>
      <c r="C149" s="662"/>
      <c r="D149" s="662"/>
      <c r="E149" s="662"/>
      <c r="F149" s="662"/>
      <c r="G149" s="662"/>
      <c r="H149" s="663"/>
      <c r="I149" s="146">
        <f>J149+L149</f>
        <v>0</v>
      </c>
      <c r="J149" s="2">
        <f>SUM(J1)</f>
        <v>0</v>
      </c>
      <c r="K149" s="2"/>
      <c r="L149" s="131">
        <f>SUM(L69)</f>
        <v>0</v>
      </c>
      <c r="M149" s="146"/>
      <c r="N149" s="2">
        <f>SUM(N69)</f>
        <v>0</v>
      </c>
      <c r="O149" s="2"/>
      <c r="P149" s="519">
        <f>SUM(P69)</f>
        <v>0</v>
      </c>
      <c r="Q149" s="146"/>
      <c r="R149" s="2">
        <f>SUM(R69)</f>
        <v>0</v>
      </c>
      <c r="S149" s="2"/>
      <c r="T149" s="131">
        <f>SUM(T69)</f>
        <v>0</v>
      </c>
      <c r="U149" s="146"/>
      <c r="V149" s="2">
        <f>SUM(V69)</f>
        <v>0</v>
      </c>
      <c r="W149" s="2"/>
      <c r="X149" s="131">
        <f>SUM(X69)</f>
        <v>0</v>
      </c>
      <c r="Y149" s="523"/>
      <c r="Z149" s="523"/>
      <c r="AA149" s="523"/>
      <c r="AB149" s="523"/>
      <c r="AC149" s="523"/>
      <c r="AD149" s="523"/>
      <c r="AE149" s="523"/>
      <c r="AF149" s="523"/>
    </row>
    <row r="150" spans="1:32" x14ac:dyDescent="0.2">
      <c r="A150" s="661" t="s">
        <v>104</v>
      </c>
      <c r="B150" s="662"/>
      <c r="C150" s="662"/>
      <c r="D150" s="662"/>
      <c r="E150" s="662"/>
      <c r="F150" s="662"/>
      <c r="G150" s="662"/>
      <c r="H150" s="663"/>
      <c r="I150" s="146">
        <f>J150</f>
        <v>1950</v>
      </c>
      <c r="J150" s="2">
        <f>J76</f>
        <v>1950</v>
      </c>
      <c r="K150" s="2">
        <f>K76</f>
        <v>0</v>
      </c>
      <c r="L150" s="131">
        <f>L76</f>
        <v>0</v>
      </c>
      <c r="M150" s="146">
        <f>N150+P150</f>
        <v>2500</v>
      </c>
      <c r="N150" s="2">
        <f>N76+N87</f>
        <v>2100</v>
      </c>
      <c r="O150" s="2">
        <f>O76+O87</f>
        <v>0</v>
      </c>
      <c r="P150" s="519">
        <f>P76+P87</f>
        <v>400</v>
      </c>
      <c r="Q150" s="146">
        <f>R150</f>
        <v>1800</v>
      </c>
      <c r="R150" s="2">
        <f>R76</f>
        <v>1800</v>
      </c>
      <c r="S150" s="2">
        <f>S76</f>
        <v>0</v>
      </c>
      <c r="T150" s="131">
        <f>T76</f>
        <v>0</v>
      </c>
      <c r="U150" s="146">
        <f>V150</f>
        <v>1800</v>
      </c>
      <c r="V150" s="2">
        <f>V76</f>
        <v>1800</v>
      </c>
      <c r="W150" s="2">
        <f>W76</f>
        <v>0</v>
      </c>
      <c r="X150" s="131">
        <f>X76</f>
        <v>0</v>
      </c>
      <c r="Y150" s="523"/>
      <c r="Z150" s="523"/>
      <c r="AA150" s="523"/>
      <c r="AB150" s="523"/>
      <c r="AC150" s="523"/>
      <c r="AD150" s="523"/>
      <c r="AE150" s="523"/>
      <c r="AF150" s="523"/>
    </row>
    <row r="151" spans="1:32" ht="11.7" customHeight="1" x14ac:dyDescent="0.2">
      <c r="A151" s="554" t="s">
        <v>136</v>
      </c>
      <c r="B151" s="555"/>
      <c r="C151" s="555"/>
      <c r="D151" s="555"/>
      <c r="E151" s="555"/>
      <c r="F151" s="555"/>
      <c r="G151" s="555"/>
      <c r="H151" s="555"/>
      <c r="I151" s="146">
        <f>J151+L151</f>
        <v>385.8</v>
      </c>
      <c r="J151" s="2">
        <f>J47+J35+J32</f>
        <v>0</v>
      </c>
      <c r="K151" s="2">
        <f t="shared" ref="K151:L151" si="135">K47+K35+K32</f>
        <v>0</v>
      </c>
      <c r="L151" s="131">
        <f t="shared" si="135"/>
        <v>385.8</v>
      </c>
      <c r="M151" s="146">
        <f>N151+P151</f>
        <v>394.3</v>
      </c>
      <c r="N151" s="2">
        <f>N47+N35+N32</f>
        <v>0</v>
      </c>
      <c r="O151" s="2">
        <f t="shared" ref="O151:P151" si="136">O47+O35+O32</f>
        <v>0</v>
      </c>
      <c r="P151" s="519">
        <f t="shared" si="136"/>
        <v>394.3</v>
      </c>
      <c r="Q151" s="521">
        <f>R151+T151</f>
        <v>232.8</v>
      </c>
      <c r="R151" s="2">
        <f>R47+R35+R32</f>
        <v>0</v>
      </c>
      <c r="S151" s="2">
        <f t="shared" ref="S151:T151" si="137">S47+S35+S32</f>
        <v>0</v>
      </c>
      <c r="T151" s="131">
        <f t="shared" si="137"/>
        <v>232.8</v>
      </c>
      <c r="U151" s="146">
        <f>V151+X151</f>
        <v>0</v>
      </c>
      <c r="V151" s="2">
        <f>V47+V35+V32</f>
        <v>0</v>
      </c>
      <c r="W151" s="2">
        <f t="shared" ref="W151:X151" si="138">W47+W35+W32</f>
        <v>0</v>
      </c>
      <c r="X151" s="131">
        <f t="shared" si="138"/>
        <v>0</v>
      </c>
      <c r="Y151" s="523"/>
      <c r="Z151" s="523"/>
      <c r="AA151" s="523"/>
      <c r="AB151" s="523"/>
      <c r="AC151" s="523"/>
      <c r="AD151" s="523"/>
      <c r="AE151" s="523"/>
      <c r="AF151" s="523"/>
    </row>
    <row r="152" spans="1:32" ht="11.7" customHeight="1" x14ac:dyDescent="0.2">
      <c r="A152" s="554" t="s">
        <v>162</v>
      </c>
      <c r="B152" s="555"/>
      <c r="C152" s="555"/>
      <c r="D152" s="555"/>
      <c r="E152" s="555"/>
      <c r="F152" s="555"/>
      <c r="G152" s="555"/>
      <c r="H152" s="555"/>
      <c r="I152" s="146"/>
      <c r="J152" s="2">
        <f>J136</f>
        <v>0</v>
      </c>
      <c r="K152" s="2">
        <f t="shared" ref="K152:L152" si="139">K136</f>
        <v>0</v>
      </c>
      <c r="L152" s="131">
        <f t="shared" si="139"/>
        <v>0</v>
      </c>
      <c r="M152" s="146">
        <f>N152+P152</f>
        <v>0</v>
      </c>
      <c r="N152" s="2">
        <f>N136</f>
        <v>0</v>
      </c>
      <c r="O152" s="2">
        <f t="shared" ref="O152:P152" si="140">O136</f>
        <v>0</v>
      </c>
      <c r="P152" s="519">
        <f t="shared" si="140"/>
        <v>0</v>
      </c>
      <c r="Q152" s="146">
        <f>R152+T152</f>
        <v>400</v>
      </c>
      <c r="R152" s="2">
        <f>R136</f>
        <v>0</v>
      </c>
      <c r="S152" s="2">
        <f t="shared" ref="S152:T152" si="141">S136</f>
        <v>0</v>
      </c>
      <c r="T152" s="131">
        <f t="shared" si="141"/>
        <v>400</v>
      </c>
      <c r="U152" s="146"/>
      <c r="V152" s="2">
        <f>V136</f>
        <v>0</v>
      </c>
      <c r="W152" s="2">
        <f t="shared" ref="W152:X152" si="142">W136</f>
        <v>0</v>
      </c>
      <c r="X152" s="131">
        <f t="shared" si="142"/>
        <v>0</v>
      </c>
      <c r="Y152" s="523"/>
      <c r="Z152" s="523"/>
      <c r="AA152" s="523"/>
      <c r="AB152" s="523"/>
      <c r="AC152" s="523"/>
      <c r="AD152" s="523"/>
      <c r="AE152" s="523"/>
      <c r="AF152" s="523"/>
    </row>
    <row r="153" spans="1:32" ht="11.7" customHeight="1" x14ac:dyDescent="0.2">
      <c r="A153" s="554" t="s">
        <v>139</v>
      </c>
      <c r="B153" s="555"/>
      <c r="C153" s="555"/>
      <c r="D153" s="555"/>
      <c r="E153" s="555"/>
      <c r="F153" s="555"/>
      <c r="G153" s="555"/>
      <c r="H153" s="555"/>
      <c r="I153" s="146"/>
      <c r="J153" s="2"/>
      <c r="K153" s="2"/>
      <c r="L153" s="131"/>
      <c r="M153" s="146">
        <f>N153+P153</f>
        <v>230.29999999999998</v>
      </c>
      <c r="N153" s="2">
        <f>N46+N36+N134</f>
        <v>0</v>
      </c>
      <c r="O153" s="2">
        <f>O46+O36+O134</f>
        <v>0</v>
      </c>
      <c r="P153" s="519">
        <f>P46+P36+P134</f>
        <v>230.29999999999998</v>
      </c>
      <c r="Q153" s="146"/>
      <c r="R153" s="2"/>
      <c r="S153" s="2"/>
      <c r="T153" s="131"/>
      <c r="U153" s="146"/>
      <c r="V153" s="2"/>
      <c r="W153" s="2"/>
      <c r="X153" s="131"/>
      <c r="Y153" s="523"/>
      <c r="Z153" s="523"/>
      <c r="AA153" s="523"/>
      <c r="AB153" s="523"/>
      <c r="AC153" s="523"/>
      <c r="AD153" s="523"/>
      <c r="AE153" s="523"/>
      <c r="AF153" s="523"/>
    </row>
    <row r="154" spans="1:32" ht="11.7" customHeight="1" x14ac:dyDescent="0.2">
      <c r="A154" s="556" t="s">
        <v>140</v>
      </c>
      <c r="B154" s="557"/>
      <c r="C154" s="557"/>
      <c r="D154" s="557"/>
      <c r="E154" s="557"/>
      <c r="F154" s="557"/>
      <c r="G154" s="557"/>
      <c r="H154" s="557"/>
      <c r="I154" s="146"/>
      <c r="J154" s="2"/>
      <c r="K154" s="2"/>
      <c r="L154" s="131"/>
      <c r="M154" s="146">
        <f>N154+P154</f>
        <v>0</v>
      </c>
      <c r="N154" s="2">
        <f>N137</f>
        <v>0</v>
      </c>
      <c r="O154" s="2">
        <f>O137</f>
        <v>0</v>
      </c>
      <c r="P154" s="519">
        <f>P137</f>
        <v>0</v>
      </c>
      <c r="Q154" s="146"/>
      <c r="R154" s="2"/>
      <c r="S154" s="2"/>
      <c r="T154" s="131"/>
      <c r="U154" s="146"/>
      <c r="V154" s="2"/>
      <c r="W154" s="2"/>
      <c r="X154" s="131"/>
      <c r="Y154" s="523"/>
      <c r="Z154" s="523"/>
      <c r="AA154" s="523"/>
      <c r="AB154" s="523"/>
      <c r="AC154" s="523"/>
      <c r="AD154" s="523"/>
      <c r="AE154" s="523"/>
      <c r="AF154" s="523"/>
    </row>
    <row r="155" spans="1:32" ht="11.7" customHeight="1" x14ac:dyDescent="0.2">
      <c r="A155" s="554" t="s">
        <v>153</v>
      </c>
      <c r="B155" s="555"/>
      <c r="C155" s="555"/>
      <c r="D155" s="555"/>
      <c r="E155" s="555"/>
      <c r="F155" s="555"/>
      <c r="G155" s="555"/>
      <c r="H155" s="555"/>
      <c r="I155" s="146">
        <f t="shared" ref="I155:P155" si="143">I17</f>
        <v>829.6</v>
      </c>
      <c r="J155" s="2">
        <f t="shared" si="143"/>
        <v>0</v>
      </c>
      <c r="K155" s="2">
        <f t="shared" si="143"/>
        <v>0</v>
      </c>
      <c r="L155" s="131">
        <f t="shared" si="143"/>
        <v>829.6</v>
      </c>
      <c r="M155" s="146">
        <f t="shared" si="143"/>
        <v>339</v>
      </c>
      <c r="N155" s="2">
        <f t="shared" si="143"/>
        <v>0</v>
      </c>
      <c r="O155" s="2">
        <f t="shared" si="143"/>
        <v>0</v>
      </c>
      <c r="P155" s="519">
        <f t="shared" si="143"/>
        <v>339</v>
      </c>
      <c r="Q155" s="458"/>
      <c r="R155" s="459"/>
      <c r="S155" s="459"/>
      <c r="T155" s="460"/>
      <c r="U155" s="458"/>
      <c r="V155" s="459"/>
      <c r="W155" s="459"/>
      <c r="X155" s="460"/>
      <c r="Y155" s="523"/>
      <c r="Z155" s="523"/>
      <c r="AA155" s="523"/>
      <c r="AB155" s="523"/>
      <c r="AC155" s="523"/>
      <c r="AD155" s="523"/>
      <c r="AE155" s="523"/>
      <c r="AF155" s="523"/>
    </row>
    <row r="156" spans="1:32" ht="11.7" customHeight="1" x14ac:dyDescent="0.2">
      <c r="A156" s="554" t="s">
        <v>154</v>
      </c>
      <c r="B156" s="555"/>
      <c r="C156" s="555"/>
      <c r="D156" s="555"/>
      <c r="E156" s="555"/>
      <c r="F156" s="555"/>
      <c r="G156" s="555"/>
      <c r="H156" s="555"/>
      <c r="I156" s="146">
        <f t="shared" ref="I156:P156" si="144">I16+I19+I21+I23+I25</f>
        <v>2289.3000000000002</v>
      </c>
      <c r="J156" s="2">
        <f t="shared" si="144"/>
        <v>0</v>
      </c>
      <c r="K156" s="2">
        <f t="shared" si="144"/>
        <v>0</v>
      </c>
      <c r="L156" s="131">
        <f t="shared" si="144"/>
        <v>2289.3000000000002</v>
      </c>
      <c r="M156" s="146">
        <f t="shared" si="144"/>
        <v>2257</v>
      </c>
      <c r="N156" s="2">
        <f t="shared" si="144"/>
        <v>0</v>
      </c>
      <c r="O156" s="2">
        <f t="shared" si="144"/>
        <v>0</v>
      </c>
      <c r="P156" s="519">
        <f t="shared" si="144"/>
        <v>2257</v>
      </c>
      <c r="Q156" s="458"/>
      <c r="R156" s="459"/>
      <c r="S156" s="459"/>
      <c r="T156" s="460"/>
      <c r="U156" s="458"/>
      <c r="V156" s="459"/>
      <c r="W156" s="459"/>
      <c r="X156" s="460"/>
      <c r="Y156" s="523"/>
      <c r="Z156" s="523"/>
      <c r="AA156" s="523"/>
      <c r="AB156" s="523"/>
      <c r="AC156" s="523"/>
      <c r="AD156" s="523"/>
      <c r="AE156" s="523"/>
      <c r="AF156" s="523"/>
    </row>
    <row r="157" spans="1:32" ht="13.5" customHeight="1" thickBot="1" x14ac:dyDescent="0.25">
      <c r="A157" s="672" t="s">
        <v>112</v>
      </c>
      <c r="B157" s="673"/>
      <c r="C157" s="673"/>
      <c r="D157" s="673"/>
      <c r="E157" s="673"/>
      <c r="F157" s="673"/>
      <c r="G157" s="673"/>
      <c r="H157" s="674"/>
      <c r="I157" s="417"/>
      <c r="J157" s="418"/>
      <c r="K157" s="418"/>
      <c r="L157" s="419">
        <f>SUM(L37)</f>
        <v>0</v>
      </c>
      <c r="M157" s="417"/>
      <c r="N157" s="418"/>
      <c r="O157" s="418">
        <f>O46</f>
        <v>0</v>
      </c>
      <c r="P157" s="520"/>
      <c r="Q157" s="417"/>
      <c r="R157" s="418"/>
      <c r="S157" s="418"/>
      <c r="T157" s="419"/>
      <c r="U157" s="417"/>
      <c r="V157" s="418"/>
      <c r="W157" s="418"/>
      <c r="X157" s="419"/>
      <c r="Y157" s="523"/>
      <c r="Z157" s="523"/>
      <c r="AA157" s="523"/>
      <c r="AB157" s="523"/>
      <c r="AC157" s="523"/>
      <c r="AD157" s="523"/>
      <c r="AE157" s="523"/>
      <c r="AF157" s="523"/>
    </row>
    <row r="158" spans="1:32" ht="10.8" thickBot="1" x14ac:dyDescent="0.25">
      <c r="A158" s="659" t="s">
        <v>13</v>
      </c>
      <c r="B158" s="660"/>
      <c r="C158" s="660"/>
      <c r="D158" s="660"/>
      <c r="E158" s="660"/>
      <c r="F158" s="660"/>
      <c r="G158" s="660"/>
      <c r="H158" s="660"/>
      <c r="I158" s="154">
        <f>L158+J158</f>
        <v>8009.9000000000005</v>
      </c>
      <c r="J158" s="155">
        <f>SUM(J143:J157)</f>
        <v>3334.3</v>
      </c>
      <c r="K158" s="155">
        <f>SUM(K143:K157)</f>
        <v>680.30000000000007</v>
      </c>
      <c r="L158" s="156">
        <f>SUM(L143:L157)</f>
        <v>4675.6000000000004</v>
      </c>
      <c r="M158" s="154">
        <f>SUM(N158,P158)</f>
        <v>8021.6</v>
      </c>
      <c r="N158" s="155">
        <f>SUM(N143:N157)</f>
        <v>3757.6</v>
      </c>
      <c r="O158" s="155">
        <f t="shared" ref="O158" si="145">SUM(O143:O157)</f>
        <v>729.99999999999989</v>
      </c>
      <c r="P158" s="156">
        <f t="shared" ref="P158" si="146">SUM(P143:P157)</f>
        <v>4264</v>
      </c>
      <c r="Q158" s="416">
        <f>SUM(R158,T158)</f>
        <v>5731.1</v>
      </c>
      <c r="R158" s="155">
        <f>SUM(R143:R157)</f>
        <v>3464.7000000000003</v>
      </c>
      <c r="S158" s="155">
        <f t="shared" ref="S158" si="147">SUM(S143:S157)</f>
        <v>722.9</v>
      </c>
      <c r="T158" s="156">
        <f t="shared" ref="T158" si="148">SUM(T143:T157)</f>
        <v>2266.4</v>
      </c>
      <c r="U158" s="416">
        <f>SUM(V158,X158)</f>
        <v>3522.9</v>
      </c>
      <c r="V158" s="155">
        <f>SUM(V143:V157)</f>
        <v>3147.9</v>
      </c>
      <c r="W158" s="155">
        <f t="shared" ref="W158" si="149">SUM(W143:W157)</f>
        <v>722.9</v>
      </c>
      <c r="X158" s="156">
        <f t="shared" ref="X158" si="150">SUM(X143:X157)</f>
        <v>375</v>
      </c>
      <c r="Y158" s="523"/>
      <c r="Z158" s="523"/>
      <c r="AA158" s="523"/>
      <c r="AB158" s="523"/>
      <c r="AC158" s="523"/>
      <c r="AD158" s="523"/>
      <c r="AE158" s="523"/>
      <c r="AF158" s="523"/>
    </row>
    <row r="160" spans="1:32" x14ac:dyDescent="0.2">
      <c r="I160" s="10">
        <f>I142-I158</f>
        <v>0</v>
      </c>
      <c r="J160" s="10"/>
      <c r="K160" s="10">
        <f t="shared" ref="K160:X160" si="151">K142-K158</f>
        <v>0</v>
      </c>
      <c r="L160" s="10">
        <f t="shared" si="151"/>
        <v>0</v>
      </c>
      <c r="M160" s="738"/>
      <c r="N160" s="738"/>
      <c r="O160" s="738"/>
      <c r="P160" s="738"/>
      <c r="Q160" s="10">
        <f t="shared" si="151"/>
        <v>-7</v>
      </c>
      <c r="R160" s="10">
        <f t="shared" si="151"/>
        <v>0</v>
      </c>
      <c r="S160" s="10">
        <f t="shared" si="151"/>
        <v>0</v>
      </c>
      <c r="T160" s="10">
        <f t="shared" si="151"/>
        <v>-7</v>
      </c>
      <c r="U160" s="10">
        <f t="shared" si="151"/>
        <v>0</v>
      </c>
      <c r="V160" s="10">
        <f t="shared" si="151"/>
        <v>0</v>
      </c>
      <c r="W160" s="10">
        <f t="shared" si="151"/>
        <v>0</v>
      </c>
      <c r="X160" s="10">
        <f t="shared" si="151"/>
        <v>0</v>
      </c>
    </row>
    <row r="161" spans="13:16" x14ac:dyDescent="0.2">
      <c r="M161" s="739"/>
      <c r="N161" s="739"/>
      <c r="O161" s="739"/>
      <c r="P161" s="739"/>
    </row>
    <row r="162" spans="13:16" x14ac:dyDescent="0.2">
      <c r="M162" s="738"/>
      <c r="N162" s="738"/>
      <c r="O162" s="738"/>
      <c r="P162" s="738"/>
    </row>
    <row r="163" spans="13:16" x14ac:dyDescent="0.2">
      <c r="M163" s="738"/>
      <c r="N163" s="740"/>
      <c r="O163" s="740"/>
      <c r="P163" s="740"/>
    </row>
  </sheetData>
  <mergeCells count="387">
    <mergeCell ref="Y59:Y60"/>
    <mergeCell ref="F60:H60"/>
    <mergeCell ref="E136:E138"/>
    <mergeCell ref="A155:H155"/>
    <mergeCell ref="A156:H156"/>
    <mergeCell ref="Y21:Y22"/>
    <mergeCell ref="F22:H22"/>
    <mergeCell ref="A23:A24"/>
    <mergeCell ref="B23:B24"/>
    <mergeCell ref="C23:C24"/>
    <mergeCell ref="D23:D24"/>
    <mergeCell ref="E23:E24"/>
    <mergeCell ref="Y23:Y24"/>
    <mergeCell ref="F24:H24"/>
    <mergeCell ref="A124:A130"/>
    <mergeCell ref="D124:D130"/>
    <mergeCell ref="C51:C52"/>
    <mergeCell ref="B63:X63"/>
    <mergeCell ref="C64:X64"/>
    <mergeCell ref="C72:X72"/>
    <mergeCell ref="C71:H71"/>
    <mergeCell ref="F30:H30"/>
    <mergeCell ref="E29:E30"/>
    <mergeCell ref="C29:C30"/>
    <mergeCell ref="A113:A115"/>
    <mergeCell ref="C120:C121"/>
    <mergeCell ref="B120:B121"/>
    <mergeCell ref="A16:A18"/>
    <mergeCell ref="E16:E18"/>
    <mergeCell ref="Y16:Y18"/>
    <mergeCell ref="F18:H18"/>
    <mergeCell ref="A25:A26"/>
    <mergeCell ref="B25:B26"/>
    <mergeCell ref="C25:C26"/>
    <mergeCell ref="D25:D26"/>
    <mergeCell ref="E25:E26"/>
    <mergeCell ref="Y25:Y26"/>
    <mergeCell ref="F26:H26"/>
    <mergeCell ref="G16:G17"/>
    <mergeCell ref="F16:F17"/>
    <mergeCell ref="A19:A20"/>
    <mergeCell ref="B19:B20"/>
    <mergeCell ref="C19:C20"/>
    <mergeCell ref="D19:D20"/>
    <mergeCell ref="E19:E20"/>
    <mergeCell ref="Y19:Y20"/>
    <mergeCell ref="F20:H20"/>
    <mergeCell ref="A21:A22"/>
    <mergeCell ref="B21:B22"/>
    <mergeCell ref="C21:C22"/>
    <mergeCell ref="A109:A110"/>
    <mergeCell ref="D113:D115"/>
    <mergeCell ref="C118:C119"/>
    <mergeCell ref="B107:B108"/>
    <mergeCell ref="D107:D108"/>
    <mergeCell ref="A118:A119"/>
    <mergeCell ref="A111:A112"/>
    <mergeCell ref="A101:A102"/>
    <mergeCell ref="B118:B119"/>
    <mergeCell ref="A103:A104"/>
    <mergeCell ref="B103:B104"/>
    <mergeCell ref="D105:D106"/>
    <mergeCell ref="B105:B106"/>
    <mergeCell ref="C109:C110"/>
    <mergeCell ref="B101:B102"/>
    <mergeCell ref="C103:C104"/>
    <mergeCell ref="D111:D112"/>
    <mergeCell ref="A107:A108"/>
    <mergeCell ref="B113:B115"/>
    <mergeCell ref="B111:B112"/>
    <mergeCell ref="C107:C108"/>
    <mergeCell ref="C101:C102"/>
    <mergeCell ref="D103:D104"/>
    <mergeCell ref="C105:C106"/>
    <mergeCell ref="B31:B33"/>
    <mergeCell ref="B29:B30"/>
    <mergeCell ref="D29:D30"/>
    <mergeCell ref="C12:C13"/>
    <mergeCell ref="F13:H13"/>
    <mergeCell ref="E51:E52"/>
    <mergeCell ref="F52:H52"/>
    <mergeCell ref="F42:H42"/>
    <mergeCell ref="C27:H27"/>
    <mergeCell ref="B39:B40"/>
    <mergeCell ref="F15:H15"/>
    <mergeCell ref="F33:H33"/>
    <mergeCell ref="F50:H50"/>
    <mergeCell ref="F48:H48"/>
    <mergeCell ref="E45:E48"/>
    <mergeCell ref="B45:B48"/>
    <mergeCell ref="B51:B52"/>
    <mergeCell ref="D43:D44"/>
    <mergeCell ref="D51:D52"/>
    <mergeCell ref="D16:D18"/>
    <mergeCell ref="C16:C18"/>
    <mergeCell ref="D21:D22"/>
    <mergeCell ref="B16:B18"/>
    <mergeCell ref="B43:B44"/>
    <mergeCell ref="F100:H100"/>
    <mergeCell ref="F73:F74"/>
    <mergeCell ref="F79:H79"/>
    <mergeCell ref="B78:B79"/>
    <mergeCell ref="D76:D77"/>
    <mergeCell ref="E76:E77"/>
    <mergeCell ref="E78:E79"/>
    <mergeCell ref="F80:F82"/>
    <mergeCell ref="C78:C79"/>
    <mergeCell ref="B87:B88"/>
    <mergeCell ref="C87:C88"/>
    <mergeCell ref="D87:D88"/>
    <mergeCell ref="E87:E88"/>
    <mergeCell ref="F88:H88"/>
    <mergeCell ref="B99:B100"/>
    <mergeCell ref="D99:D100"/>
    <mergeCell ref="B93:B94"/>
    <mergeCell ref="F75:H75"/>
    <mergeCell ref="C76:C77"/>
    <mergeCell ref="B80:B83"/>
    <mergeCell ref="D73:D75"/>
    <mergeCell ref="D78:D79"/>
    <mergeCell ref="E109:E110"/>
    <mergeCell ref="F110:H110"/>
    <mergeCell ref="F112:H112"/>
    <mergeCell ref="E111:E112"/>
    <mergeCell ref="F104:H104"/>
    <mergeCell ref="E105:E106"/>
    <mergeCell ref="E101:E102"/>
    <mergeCell ref="D101:D102"/>
    <mergeCell ref="O3:P3"/>
    <mergeCell ref="M4:P4"/>
    <mergeCell ref="I4:L4"/>
    <mergeCell ref="M5:M7"/>
    <mergeCell ref="N5:P5"/>
    <mergeCell ref="E84:E86"/>
    <mergeCell ref="E95:E96"/>
    <mergeCell ref="F96:H96"/>
    <mergeCell ref="C97:H97"/>
    <mergeCell ref="C93:C94"/>
    <mergeCell ref="D93:D94"/>
    <mergeCell ref="E93:E94"/>
    <mergeCell ref="F94:H94"/>
    <mergeCell ref="C91:H91"/>
    <mergeCell ref="F86:H86"/>
    <mergeCell ref="D84:D86"/>
    <mergeCell ref="G113:G114"/>
    <mergeCell ref="A84:A86"/>
    <mergeCell ref="B84:B86"/>
    <mergeCell ref="G80:G82"/>
    <mergeCell ref="D80:D83"/>
    <mergeCell ref="A80:A83"/>
    <mergeCell ref="C67:C70"/>
    <mergeCell ref="B73:B75"/>
    <mergeCell ref="A78:A79"/>
    <mergeCell ref="F67:F69"/>
    <mergeCell ref="G73:G74"/>
    <mergeCell ref="E67:E70"/>
    <mergeCell ref="D67:D70"/>
    <mergeCell ref="C73:C75"/>
    <mergeCell ref="E80:E83"/>
    <mergeCell ref="F83:H83"/>
    <mergeCell ref="B76:B77"/>
    <mergeCell ref="E73:E75"/>
    <mergeCell ref="A73:A75"/>
    <mergeCell ref="A76:A77"/>
    <mergeCell ref="C80:C83"/>
    <mergeCell ref="F77:H77"/>
    <mergeCell ref="C84:C86"/>
    <mergeCell ref="G84:G85"/>
    <mergeCell ref="F130:H130"/>
    <mergeCell ref="C116:C117"/>
    <mergeCell ref="F119:H119"/>
    <mergeCell ref="F117:H117"/>
    <mergeCell ref="F123:H123"/>
    <mergeCell ref="E122:E123"/>
    <mergeCell ref="D120:D121"/>
    <mergeCell ref="C124:C130"/>
    <mergeCell ref="H124:H129"/>
    <mergeCell ref="E120:E121"/>
    <mergeCell ref="F121:H121"/>
    <mergeCell ref="D122:D123"/>
    <mergeCell ref="B67:B70"/>
    <mergeCell ref="A65:A66"/>
    <mergeCell ref="C61:H61"/>
    <mergeCell ref="G67:G69"/>
    <mergeCell ref="F70:H70"/>
    <mergeCell ref="B62:H62"/>
    <mergeCell ref="F54:H54"/>
    <mergeCell ref="F66:H66"/>
    <mergeCell ref="B65:B66"/>
    <mergeCell ref="C65:C66"/>
    <mergeCell ref="D65:D66"/>
    <mergeCell ref="E65:E66"/>
    <mergeCell ref="D53:D54"/>
    <mergeCell ref="C53:C54"/>
    <mergeCell ref="A55:A56"/>
    <mergeCell ref="B55:B56"/>
    <mergeCell ref="C55:C56"/>
    <mergeCell ref="D55:D56"/>
    <mergeCell ref="E55:E56"/>
    <mergeCell ref="A59:A60"/>
    <mergeCell ref="B59:B60"/>
    <mergeCell ref="C59:C60"/>
    <mergeCell ref="D59:D60"/>
    <mergeCell ref="E59:E60"/>
    <mergeCell ref="B49:B50"/>
    <mergeCell ref="A157:H157"/>
    <mergeCell ref="A146:H146"/>
    <mergeCell ref="A143:H143"/>
    <mergeCell ref="A144:H144"/>
    <mergeCell ref="A145:H145"/>
    <mergeCell ref="C140:H140"/>
    <mergeCell ref="F135:H135"/>
    <mergeCell ref="A149:H149"/>
    <mergeCell ref="A142:H142"/>
    <mergeCell ref="A150:H150"/>
    <mergeCell ref="A131:A135"/>
    <mergeCell ref="B131:B135"/>
    <mergeCell ref="C131:C135"/>
    <mergeCell ref="D131:D135"/>
    <mergeCell ref="F139:H139"/>
    <mergeCell ref="D136:D139"/>
    <mergeCell ref="C136:C139"/>
    <mergeCell ref="F136:F138"/>
    <mergeCell ref="G136:G138"/>
    <mergeCell ref="B53:B54"/>
    <mergeCell ref="A53:A54"/>
    <mergeCell ref="E53:E54"/>
    <mergeCell ref="A67:A70"/>
    <mergeCell ref="A136:A140"/>
    <mergeCell ref="B136:B140"/>
    <mergeCell ref="E132:E134"/>
    <mergeCell ref="G131:G134"/>
    <mergeCell ref="F131:F134"/>
    <mergeCell ref="K3:L3"/>
    <mergeCell ref="A3:J3"/>
    <mergeCell ref="B4:B7"/>
    <mergeCell ref="A158:H158"/>
    <mergeCell ref="A147:H147"/>
    <mergeCell ref="A116:A117"/>
    <mergeCell ref="D116:D117"/>
    <mergeCell ref="B116:B117"/>
    <mergeCell ref="B141:H141"/>
    <mergeCell ref="D118:D119"/>
    <mergeCell ref="A99:A100"/>
    <mergeCell ref="C99:C100"/>
    <mergeCell ref="F108:H108"/>
    <mergeCell ref="E99:E100"/>
    <mergeCell ref="F102:H102"/>
    <mergeCell ref="E116:E117"/>
    <mergeCell ref="A122:A123"/>
    <mergeCell ref="B122:B123"/>
    <mergeCell ref="A148:H148"/>
    <mergeCell ref="A105:A106"/>
    <mergeCell ref="C113:C115"/>
    <mergeCell ref="E107:E108"/>
    <mergeCell ref="E34:E38"/>
    <mergeCell ref="E41:E42"/>
    <mergeCell ref="A51:A52"/>
    <mergeCell ref="P1:T1"/>
    <mergeCell ref="J5:L5"/>
    <mergeCell ref="H4:H7"/>
    <mergeCell ref="F4:F7"/>
    <mergeCell ref="I5:I7"/>
    <mergeCell ref="L6:L7"/>
    <mergeCell ref="A2:X2"/>
    <mergeCell ref="A8:X8"/>
    <mergeCell ref="A9:X9"/>
    <mergeCell ref="A4:A7"/>
    <mergeCell ref="U4:X4"/>
    <mergeCell ref="V5:X5"/>
    <mergeCell ref="U5:U7"/>
    <mergeCell ref="V6:W6"/>
    <mergeCell ref="X6:X7"/>
    <mergeCell ref="C4:C7"/>
    <mergeCell ref="D4:D7"/>
    <mergeCell ref="G4:G7"/>
    <mergeCell ref="U1:X1"/>
    <mergeCell ref="S3:T3"/>
    <mergeCell ref="Y53:Y54"/>
    <mergeCell ref="Y4:Y11"/>
    <mergeCell ref="Y12:Y13"/>
    <mergeCell ref="Y14:Y15"/>
    <mergeCell ref="Y29:Y30"/>
    <mergeCell ref="Y34:Y38"/>
    <mergeCell ref="Y31:Y33"/>
    <mergeCell ref="Y39:Y40"/>
    <mergeCell ref="Y41:Y42"/>
    <mergeCell ref="Y43:Y44"/>
    <mergeCell ref="Y45:Y48"/>
    <mergeCell ref="Y49:Y50"/>
    <mergeCell ref="Y51:Y52"/>
    <mergeCell ref="C28:X28"/>
    <mergeCell ref="F40:H40"/>
    <mergeCell ref="F44:H44"/>
    <mergeCell ref="F38:H38"/>
    <mergeCell ref="F34:F37"/>
    <mergeCell ref="G34:G37"/>
    <mergeCell ref="D34:D38"/>
    <mergeCell ref="C34:C38"/>
    <mergeCell ref="D39:D40"/>
    <mergeCell ref="A12:A13"/>
    <mergeCell ref="B10:X10"/>
    <mergeCell ref="C11:X11"/>
    <mergeCell ref="A39:A40"/>
    <mergeCell ref="C39:C40"/>
    <mergeCell ref="B41:B42"/>
    <mergeCell ref="C41:C42"/>
    <mergeCell ref="E39:E40"/>
    <mergeCell ref="P6:P7"/>
    <mergeCell ref="A14:A15"/>
    <mergeCell ref="B14:B15"/>
    <mergeCell ref="C31:C33"/>
    <mergeCell ref="D31:D33"/>
    <mergeCell ref="C14:C15"/>
    <mergeCell ref="D14:D15"/>
    <mergeCell ref="E14:E15"/>
    <mergeCell ref="A41:A42"/>
    <mergeCell ref="E31:E33"/>
    <mergeCell ref="A31:A33"/>
    <mergeCell ref="A29:A30"/>
    <mergeCell ref="A34:A38"/>
    <mergeCell ref="D41:D42"/>
    <mergeCell ref="B34:B38"/>
    <mergeCell ref="B12:B13"/>
    <mergeCell ref="Q4:T4"/>
    <mergeCell ref="Q5:Q7"/>
    <mergeCell ref="R5:T5"/>
    <mergeCell ref="T6:T7"/>
    <mergeCell ref="D12:D13"/>
    <mergeCell ref="E12:E13"/>
    <mergeCell ref="E49:E50"/>
    <mergeCell ref="F45:F47"/>
    <mergeCell ref="G45:G47"/>
    <mergeCell ref="E4:E7"/>
    <mergeCell ref="E21:E22"/>
    <mergeCell ref="E43:E44"/>
    <mergeCell ref="G31:G32"/>
    <mergeCell ref="F31:F32"/>
    <mergeCell ref="D45:D48"/>
    <mergeCell ref="A153:H153"/>
    <mergeCell ref="A154:H154"/>
    <mergeCell ref="A151:H151"/>
    <mergeCell ref="A152:H152"/>
    <mergeCell ref="A95:A96"/>
    <mergeCell ref="B95:B96"/>
    <mergeCell ref="C95:C96"/>
    <mergeCell ref="D95:D96"/>
    <mergeCell ref="C92:T92"/>
    <mergeCell ref="C98:X98"/>
    <mergeCell ref="A120:A121"/>
    <mergeCell ref="B124:B130"/>
    <mergeCell ref="F124:F129"/>
    <mergeCell ref="E118:E119"/>
    <mergeCell ref="E103:E104"/>
    <mergeCell ref="C122:C123"/>
    <mergeCell ref="C111:C112"/>
    <mergeCell ref="A93:A94"/>
    <mergeCell ref="D109:D110"/>
    <mergeCell ref="F106:H106"/>
    <mergeCell ref="B109:B110"/>
    <mergeCell ref="F115:H115"/>
    <mergeCell ref="F113:F114"/>
    <mergeCell ref="E113:E115"/>
    <mergeCell ref="C43:C44"/>
    <mergeCell ref="D49:D50"/>
    <mergeCell ref="C45:C48"/>
    <mergeCell ref="A49:A50"/>
    <mergeCell ref="Y55:Y56"/>
    <mergeCell ref="F56:H56"/>
    <mergeCell ref="A89:A90"/>
    <mergeCell ref="B89:B90"/>
    <mergeCell ref="C89:C90"/>
    <mergeCell ref="D89:D90"/>
    <mergeCell ref="E89:E90"/>
    <mergeCell ref="F90:H90"/>
    <mergeCell ref="A87:A88"/>
    <mergeCell ref="F84:F85"/>
    <mergeCell ref="A57:A58"/>
    <mergeCell ref="B57:B58"/>
    <mergeCell ref="C57:C58"/>
    <mergeCell ref="D57:D58"/>
    <mergeCell ref="E57:E58"/>
    <mergeCell ref="Y57:Y58"/>
    <mergeCell ref="F58:H58"/>
    <mergeCell ref="A43:A44"/>
    <mergeCell ref="A45:A48"/>
    <mergeCell ref="C49:C50"/>
  </mergeCells>
  <phoneticPr fontId="0" type="noConversion"/>
  <printOptions horizontalCentered="1"/>
  <pageMargins left="0.23622047244094491" right="0.23622047244094491" top="0.59055118110236227" bottom="0.59055118110236227" header="0.31496062992125984" footer="0.31496062992125984"/>
  <pageSetup paperSize="9" scale="74" fitToHeight="17" orientation="landscape" cellComments="asDisplayed" useFirstPageNumber="1" r:id="rId1"/>
  <headerFooter scaleWithDoc="0">
    <oddHeader>&amp;C&amp;P&amp;R3 programa</oddHeader>
    <oddFooter>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5" sqref="A5"/>
    </sheetView>
  </sheetViews>
  <sheetFormatPr defaultRowHeight="13.2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2</vt:i4>
      </vt:variant>
    </vt:vector>
  </HeadingPairs>
  <TitlesOfParts>
    <vt:vector size="4" baseType="lpstr">
      <vt:lpstr>2 lentele </vt:lpstr>
      <vt:lpstr>Lapas1</vt:lpstr>
      <vt:lpstr>'2 lentele '!Print_Area</vt:lpstr>
      <vt:lpstr>'2 lentele '!Print_Titles</vt:lpstr>
    </vt:vector>
  </TitlesOfParts>
  <Company>Klaipedos rajono savivaldybe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Mindaugas Šatkus</dc:creator>
  <cp:lastModifiedBy>Vaida Čedavičienė</cp:lastModifiedBy>
  <cp:lastPrinted>2021-07-22T06:01:04Z</cp:lastPrinted>
  <dcterms:created xsi:type="dcterms:W3CDTF">2005-07-20T12:43:59Z</dcterms:created>
  <dcterms:modified xsi:type="dcterms:W3CDTF">2021-12-11T11:13:26Z</dcterms:modified>
</cp:coreProperties>
</file>