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ena.gailiuviene\Desktop\2022 m. projektas\2022 m biudzeto projekt sprend\komitetu posėdžiui\"/>
    </mc:Choice>
  </mc:AlternateContent>
  <xr:revisionPtr revIDLastSave="0" documentId="13_ncr:1_{5F5D8BB6-E7F3-4A38-A3B8-21D58D02940F}" xr6:coauthVersionLast="47" xr6:coauthVersionMax="47" xr10:uidLastSave="{00000000-0000-0000-0000-000000000000}"/>
  <bookViews>
    <workbookView xWindow="-108" yWindow="-108" windowWidth="23256" windowHeight="12576" xr2:uid="{DF0FEBCE-05B4-4644-A1B7-A42B154624A1}"/>
  </bookViews>
  <sheets>
    <sheet name="1 priedas" sheetId="1" r:id="rId1"/>
    <sheet name=" 2 priedas" sheetId="3" r:id="rId2"/>
    <sheet name="3 priedas" sheetId="2" r:id="rId3"/>
    <sheet name="4 priedas" sheetId="4" r:id="rId4"/>
    <sheet name="5 priedas" sheetId="6" r:id="rId5"/>
    <sheet name="6 priedas" sheetId="5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1" i="6" l="1"/>
  <c r="E577" i="6"/>
  <c r="E613" i="6"/>
  <c r="G571" i="6"/>
  <c r="E578" i="6"/>
  <c r="D577" i="6"/>
  <c r="E570" i="6"/>
  <c r="D570" i="6"/>
  <c r="E203" i="6"/>
  <c r="D203" i="6"/>
  <c r="E194" i="6"/>
  <c r="D188" i="6"/>
  <c r="E188" i="6"/>
  <c r="D179" i="6"/>
  <c r="E179" i="6"/>
  <c r="D170" i="6"/>
  <c r="E170" i="6"/>
  <c r="D161" i="6"/>
  <c r="E161" i="6"/>
  <c r="D152" i="6"/>
  <c r="E152" i="6"/>
  <c r="D23" i="1"/>
  <c r="D475" i="6" l="1"/>
  <c r="D288" i="6"/>
  <c r="D251" i="6"/>
  <c r="E251" i="6"/>
  <c r="D247" i="6"/>
  <c r="E247" i="6"/>
  <c r="D338" i="6"/>
  <c r="D330" i="6"/>
  <c r="D322" i="6"/>
  <c r="D388" i="6" l="1"/>
  <c r="D354" i="6"/>
  <c r="D466" i="6" l="1"/>
  <c r="D467" i="6"/>
  <c r="E467" i="6"/>
  <c r="D416" i="6"/>
  <c r="D415" i="6"/>
  <c r="D409" i="6"/>
  <c r="D425" i="6"/>
  <c r="D438" i="6"/>
  <c r="D689" i="6" l="1"/>
  <c r="E246" i="6"/>
  <c r="D561" i="6"/>
  <c r="D297" i="6"/>
  <c r="D58" i="5"/>
  <c r="D52" i="5"/>
  <c r="D24" i="5"/>
  <c r="D14" i="5"/>
  <c r="E313" i="6"/>
  <c r="E305" i="6"/>
  <c r="E287" i="6"/>
  <c r="E282" i="6"/>
  <c r="E274" i="6"/>
  <c r="E265" i="6"/>
  <c r="E229" i="6"/>
  <c r="E222" i="6"/>
  <c r="E212" i="6"/>
  <c r="E185" i="6"/>
  <c r="E176" i="6"/>
  <c r="E167" i="6"/>
  <c r="E158" i="6"/>
  <c r="E149" i="6"/>
  <c r="E140" i="6"/>
  <c r="E131" i="6"/>
  <c r="E122" i="6"/>
  <c r="E115" i="6"/>
  <c r="E110" i="6"/>
  <c r="E101" i="6"/>
  <c r="E92" i="6"/>
  <c r="E83" i="6"/>
  <c r="E74" i="6"/>
  <c r="E66" i="6"/>
  <c r="E57" i="6"/>
  <c r="E47" i="6"/>
  <c r="E38" i="6"/>
  <c r="E29" i="6"/>
  <c r="E19" i="6"/>
  <c r="E10" i="6"/>
  <c r="E574" i="6"/>
  <c r="D57" i="6"/>
  <c r="E413" i="6"/>
  <c r="E408" i="6"/>
  <c r="D408" i="6"/>
  <c r="E385" i="6"/>
  <c r="D385" i="6"/>
  <c r="E377" i="6"/>
  <c r="E371" i="6"/>
  <c r="D371" i="6"/>
  <c r="E646" i="6"/>
  <c r="E561" i="6"/>
  <c r="E558" i="6"/>
  <c r="D569" i="6"/>
  <c r="D568" i="6"/>
  <c r="D655" i="6"/>
  <c r="E652" i="6"/>
  <c r="D652" i="6"/>
  <c r="E662" i="6"/>
  <c r="D662" i="6"/>
  <c r="E658" i="6"/>
  <c r="D658" i="6"/>
  <c r="E669" i="6"/>
  <c r="D669" i="6"/>
  <c r="E670" i="6"/>
  <c r="D670" i="6"/>
  <c r="D676" i="6"/>
  <c r="E677" i="6"/>
  <c r="D677" i="6"/>
  <c r="E679" i="6"/>
  <c r="D679" i="6"/>
  <c r="E680" i="6"/>
  <c r="E683" i="6"/>
  <c r="D683" i="6"/>
  <c r="E688" i="6"/>
  <c r="D688" i="6"/>
  <c r="D690" i="6"/>
  <c r="D488" i="6"/>
  <c r="D656" i="6" s="1"/>
  <c r="E595" i="6"/>
  <c r="D595" i="6"/>
  <c r="D450" i="6"/>
  <c r="D449" i="6"/>
  <c r="D448" i="6"/>
  <c r="D447" i="6"/>
  <c r="D446" i="6"/>
  <c r="D445" i="6"/>
  <c r="D444" i="6"/>
  <c r="D443" i="6"/>
  <c r="D440" i="6"/>
  <c r="D610" i="6"/>
  <c r="E531" i="6" l="1"/>
  <c r="D531" i="6"/>
  <c r="E544" i="6"/>
  <c r="E687" i="6" s="1"/>
  <c r="D544" i="6"/>
  <c r="D687" i="6" s="1"/>
  <c r="E526" i="6"/>
  <c r="E475" i="6"/>
  <c r="E655" i="6" s="1"/>
  <c r="E529" i="6" l="1"/>
  <c r="E686" i="6"/>
  <c r="E684" i="6" s="1"/>
  <c r="D529" i="6"/>
  <c r="D686" i="6"/>
  <c r="D684" i="6" s="1"/>
  <c r="E488" i="6"/>
  <c r="E218" i="6"/>
  <c r="D218" i="6"/>
  <c r="D661" i="6" s="1"/>
  <c r="D230" i="6"/>
  <c r="D523" i="6"/>
  <c r="D678" i="6" s="1"/>
  <c r="E512" i="6"/>
  <c r="E675" i="6" s="1"/>
  <c r="D512" i="6"/>
  <c r="D675" i="6" s="1"/>
  <c r="E507" i="6"/>
  <c r="E666" i="6" s="1"/>
  <c r="D507" i="6"/>
  <c r="D666" i="6" s="1"/>
  <c r="E506" i="6"/>
  <c r="E665" i="6" s="1"/>
  <c r="E663" i="6" s="1"/>
  <c r="D506" i="6"/>
  <c r="D665" i="6" s="1"/>
  <c r="D663" i="6" s="1"/>
  <c r="D527" i="6"/>
  <c r="D525" i="6"/>
  <c r="D680" i="6" s="1"/>
  <c r="E511" i="6"/>
  <c r="D511" i="6"/>
  <c r="E484" i="6"/>
  <c r="D484" i="6"/>
  <c r="E481" i="6"/>
  <c r="D481" i="6"/>
  <c r="E509" i="6" l="1"/>
  <c r="D659" i="6"/>
  <c r="E217" i="6"/>
  <c r="E661" i="6"/>
  <c r="E552" i="6"/>
  <c r="E656" i="6"/>
  <c r="D509" i="6"/>
  <c r="D674" i="6"/>
  <c r="D672" i="6" s="1"/>
  <c r="D526" i="6"/>
  <c r="D682" i="6"/>
  <c r="D681" i="6" s="1"/>
  <c r="D552" i="6"/>
  <c r="D473" i="6"/>
  <c r="D470" i="6" s="1"/>
  <c r="E473" i="6"/>
  <c r="E470" i="6" s="1"/>
  <c r="D504" i="6"/>
  <c r="E504" i="6"/>
  <c r="D468" i="6" l="1"/>
  <c r="E659" i="6"/>
  <c r="E468" i="6"/>
  <c r="E423" i="6"/>
  <c r="D423" i="6"/>
  <c r="E564" i="6"/>
  <c r="D564" i="6"/>
  <c r="D563" i="6"/>
  <c r="D566" i="6"/>
  <c r="D565" i="6"/>
  <c r="D560" i="6"/>
  <c r="D559" i="6"/>
  <c r="D557" i="6"/>
  <c r="D556" i="6"/>
  <c r="E553" i="6"/>
  <c r="D553" i="6"/>
  <c r="D562" i="6"/>
  <c r="D646" i="6"/>
  <c r="E647" i="6"/>
  <c r="D647" i="6"/>
  <c r="E464" i="6"/>
  <c r="D464" i="6"/>
  <c r="D644" i="6"/>
  <c r="E639" i="6"/>
  <c r="D639" i="6"/>
  <c r="E638" i="6"/>
  <c r="D638" i="6"/>
  <c r="D640" i="6"/>
  <c r="D641" i="6"/>
  <c r="D456" i="6"/>
  <c r="D461" i="6"/>
  <c r="D337" i="6"/>
  <c r="D329" i="6"/>
  <c r="D321" i="6"/>
  <c r="D314" i="6"/>
  <c r="D313" i="6" s="1"/>
  <c r="D308" i="6"/>
  <c r="D637" i="6" s="1"/>
  <c r="E297" i="6"/>
  <c r="E296" i="6" s="1"/>
  <c r="D296" i="6"/>
  <c r="D287" i="6"/>
  <c r="D633" i="6"/>
  <c r="E631" i="6"/>
  <c r="D631" i="6"/>
  <c r="D630" i="6"/>
  <c r="D629" i="6"/>
  <c r="E628" i="6"/>
  <c r="D628" i="6"/>
  <c r="D627" i="6"/>
  <c r="E624" i="6"/>
  <c r="D624" i="6"/>
  <c r="D623" i="6"/>
  <c r="D621" i="6"/>
  <c r="D620" i="6"/>
  <c r="E619" i="6"/>
  <c r="D619" i="6"/>
  <c r="E617" i="6"/>
  <c r="D617" i="6"/>
  <c r="E616" i="6"/>
  <c r="D616" i="6"/>
  <c r="D275" i="6"/>
  <c r="D274" i="6" s="1"/>
  <c r="D266" i="6"/>
  <c r="D265" i="6" s="1"/>
  <c r="D260" i="6"/>
  <c r="E259" i="6"/>
  <c r="D259" i="6"/>
  <c r="E258" i="6"/>
  <c r="D258" i="6"/>
  <c r="D413" i="6"/>
  <c r="E609" i="6"/>
  <c r="D609" i="6"/>
  <c r="E608" i="6"/>
  <c r="D608" i="6"/>
  <c r="E607" i="6"/>
  <c r="D607" i="6"/>
  <c r="E605" i="6"/>
  <c r="D605" i="6"/>
  <c r="E604" i="6"/>
  <c r="D604" i="6"/>
  <c r="E215" i="6"/>
  <c r="D215" i="6"/>
  <c r="D601" i="6"/>
  <c r="D600" i="6"/>
  <c r="E599" i="6"/>
  <c r="D599" i="6"/>
  <c r="D598" i="6"/>
  <c r="D597" i="6"/>
  <c r="E589" i="6"/>
  <c r="D589" i="6"/>
  <c r="E590" i="6"/>
  <c r="D590" i="6"/>
  <c r="D588" i="6"/>
  <c r="E238" i="6"/>
  <c r="D238" i="6"/>
  <c r="D237" i="6" s="1"/>
  <c r="D195" i="6"/>
  <c r="D194" i="6" s="1"/>
  <c r="D48" i="6"/>
  <c r="D47" i="6" s="1"/>
  <c r="D20" i="6"/>
  <c r="D578" i="6"/>
  <c r="E555" i="6"/>
  <c r="D555" i="6"/>
  <c r="D581" i="6"/>
  <c r="E580" i="6"/>
  <c r="D580" i="6"/>
  <c r="E576" i="6"/>
  <c r="D576" i="6"/>
  <c r="E554" i="6"/>
  <c r="D554" i="6"/>
  <c r="E575" i="6"/>
  <c r="D575" i="6"/>
  <c r="E551" i="6"/>
  <c r="D551" i="6"/>
  <c r="E671" i="6"/>
  <c r="E667" i="6" s="1"/>
  <c r="D671" i="6"/>
  <c r="D667" i="6" s="1"/>
  <c r="E657" i="6"/>
  <c r="E653" i="6" s="1"/>
  <c r="E650" i="6" s="1"/>
  <c r="D657" i="6"/>
  <c r="D653" i="6" s="1"/>
  <c r="D650" i="6" s="1"/>
  <c r="E645" i="6"/>
  <c r="D645" i="6"/>
  <c r="E637" i="6"/>
  <c r="D632" i="6"/>
  <c r="E618" i="6"/>
  <c r="E606" i="6"/>
  <c r="D606" i="6"/>
  <c r="E596" i="6"/>
  <c r="D596" i="6"/>
  <c r="E587" i="6"/>
  <c r="D587" i="6"/>
  <c r="E579" i="6"/>
  <c r="D579" i="6"/>
  <c r="D57" i="5"/>
  <c r="D56" i="5"/>
  <c r="D55" i="5"/>
  <c r="D54" i="5"/>
  <c r="D53" i="5"/>
  <c r="D45" i="5"/>
  <c r="D43" i="5"/>
  <c r="D22" i="5"/>
  <c r="D20" i="5"/>
  <c r="D10" i="5"/>
  <c r="D377" i="6"/>
  <c r="E367" i="6"/>
  <c r="E365" i="6" s="1"/>
  <c r="D367" i="6"/>
  <c r="D365" i="6" s="1"/>
  <c r="E361" i="6"/>
  <c r="E359" i="6" s="1"/>
  <c r="D361" i="6"/>
  <c r="D359" i="6" s="1"/>
  <c r="E353" i="6"/>
  <c r="E357" i="6"/>
  <c r="D357" i="6"/>
  <c r="E345" i="6"/>
  <c r="D345" i="6"/>
  <c r="E349" i="6"/>
  <c r="D349" i="6"/>
  <c r="E337" i="6"/>
  <c r="E341" i="6"/>
  <c r="D341" i="6"/>
  <c r="E329" i="6"/>
  <c r="E333" i="6"/>
  <c r="D333" i="6"/>
  <c r="E321" i="6"/>
  <c r="D325" i="6"/>
  <c r="E317" i="6"/>
  <c r="E311" i="6" s="1"/>
  <c r="D317" i="6"/>
  <c r="E309" i="6"/>
  <c r="D309" i="6"/>
  <c r="E301" i="6"/>
  <c r="D301" i="6"/>
  <c r="E292" i="6"/>
  <c r="D292" i="6"/>
  <c r="D115" i="6"/>
  <c r="D20" i="1"/>
  <c r="D131" i="6"/>
  <c r="D92" i="6"/>
  <c r="D83" i="6"/>
  <c r="D74" i="6"/>
  <c r="D66" i="6"/>
  <c r="D38" i="6"/>
  <c r="D29" i="6"/>
  <c r="E280" i="6"/>
  <c r="D282" i="6"/>
  <c r="D280" i="6" s="1"/>
  <c r="E278" i="6"/>
  <c r="D278" i="6"/>
  <c r="E270" i="6"/>
  <c r="D270" i="6"/>
  <c r="E261" i="6"/>
  <c r="D261" i="6"/>
  <c r="D246" i="6"/>
  <c r="E253" i="6"/>
  <c r="D253" i="6"/>
  <c r="E242" i="6"/>
  <c r="D242" i="6"/>
  <c r="D229" i="6"/>
  <c r="E233" i="6"/>
  <c r="D233" i="6"/>
  <c r="D222" i="6"/>
  <c r="E225" i="6"/>
  <c r="D225" i="6"/>
  <c r="D217" i="6"/>
  <c r="D212" i="6"/>
  <c r="E208" i="6"/>
  <c r="D208" i="6"/>
  <c r="E199" i="6"/>
  <c r="D199" i="6"/>
  <c r="E190" i="6"/>
  <c r="D190" i="6"/>
  <c r="D185" i="6"/>
  <c r="D176" i="6"/>
  <c r="E181" i="6"/>
  <c r="D181" i="6"/>
  <c r="D167" i="6"/>
  <c r="E172" i="6"/>
  <c r="D172" i="6"/>
  <c r="D158" i="6"/>
  <c r="E163" i="6"/>
  <c r="D163" i="6"/>
  <c r="D149" i="6"/>
  <c r="E154" i="6"/>
  <c r="D154" i="6"/>
  <c r="D140" i="6"/>
  <c r="E145" i="6"/>
  <c r="D145" i="6"/>
  <c r="E136" i="6"/>
  <c r="D136" i="6"/>
  <c r="E127" i="6"/>
  <c r="D127" i="6"/>
  <c r="D122" i="6"/>
  <c r="D110" i="6"/>
  <c r="E118" i="6"/>
  <c r="D118" i="6"/>
  <c r="D101" i="6"/>
  <c r="E106" i="6"/>
  <c r="D106" i="6"/>
  <c r="E97" i="6"/>
  <c r="D97" i="6"/>
  <c r="E88" i="6"/>
  <c r="D88" i="6"/>
  <c r="E79" i="6"/>
  <c r="D79" i="6"/>
  <c r="E70" i="6"/>
  <c r="D70" i="6"/>
  <c r="E62" i="6"/>
  <c r="E55" i="6" s="1"/>
  <c r="D62" i="6"/>
  <c r="D55" i="6" s="1"/>
  <c r="E53" i="6"/>
  <c r="E45" i="6" s="1"/>
  <c r="D53" i="6"/>
  <c r="E43" i="6"/>
  <c r="D43" i="6"/>
  <c r="E34" i="6"/>
  <c r="E27" i="6" s="1"/>
  <c r="D34" i="6"/>
  <c r="E25" i="6"/>
  <c r="D25" i="6"/>
  <c r="E15" i="6"/>
  <c r="D15" i="6"/>
  <c r="D10" i="6"/>
  <c r="E682" i="6"/>
  <c r="E681" i="6" s="1"/>
  <c r="E674" i="6"/>
  <c r="E672" i="6" s="1"/>
  <c r="E644" i="6"/>
  <c r="D17" i="1"/>
  <c r="C11" i="3"/>
  <c r="C19" i="3" s="1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Z12" i="4" s="1"/>
  <c r="Z11" i="4"/>
  <c r="Z10" i="4"/>
  <c r="Z9" i="4"/>
  <c r="Z8" i="4"/>
  <c r="F50" i="2"/>
  <c r="E50" i="2"/>
  <c r="D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D43" i="1"/>
  <c r="D37" i="1"/>
  <c r="D14" i="1"/>
  <c r="D10" i="1"/>
  <c r="D622" i="6" l="1"/>
  <c r="D567" i="6"/>
  <c r="E622" i="6"/>
  <c r="E567" i="6"/>
  <c r="E369" i="6"/>
  <c r="D648" i="6"/>
  <c r="E648" i="6"/>
  <c r="D369" i="6"/>
  <c r="D550" i="6"/>
  <c r="E237" i="6"/>
  <c r="E235" i="6" s="1"/>
  <c r="E550" i="6"/>
  <c r="E615" i="6"/>
  <c r="E611" i="6" s="1"/>
  <c r="E257" i="6"/>
  <c r="E255" i="6" s="1"/>
  <c r="D201" i="6"/>
  <c r="D16" i="1"/>
  <c r="D8" i="5"/>
  <c r="D602" i="6"/>
  <c r="E602" i="6"/>
  <c r="D353" i="6"/>
  <c r="D351" i="6" s="1"/>
  <c r="D305" i="6"/>
  <c r="D303" i="6" s="1"/>
  <c r="D19" i="6"/>
  <c r="D17" i="6" s="1"/>
  <c r="E642" i="6"/>
  <c r="D642" i="6"/>
  <c r="D636" i="6"/>
  <c r="E636" i="6"/>
  <c r="E634" i="6" s="1"/>
  <c r="E625" i="6"/>
  <c r="D625" i="6"/>
  <c r="D558" i="6"/>
  <c r="D618" i="6"/>
  <c r="D257" i="6"/>
  <c r="D255" i="6" s="1"/>
  <c r="D615" i="6"/>
  <c r="E81" i="6"/>
  <c r="D593" i="6"/>
  <c r="D591" i="6" s="1"/>
  <c r="E593" i="6"/>
  <c r="E591" i="6" s="1"/>
  <c r="D90" i="6"/>
  <c r="D81" i="6"/>
  <c r="D574" i="6"/>
  <c r="D572" i="6" s="1"/>
  <c r="D129" i="6"/>
  <c r="E129" i="6"/>
  <c r="E90" i="6"/>
  <c r="E183" i="6"/>
  <c r="E8" i="6"/>
  <c r="D192" i="6"/>
  <c r="E17" i="6"/>
  <c r="D36" i="6"/>
  <c r="D27" i="6"/>
  <c r="D294" i="6"/>
  <c r="E36" i="6"/>
  <c r="E294" i="6"/>
  <c r="D586" i="6"/>
  <c r="D584" i="6" s="1"/>
  <c r="D582" i="6" s="1"/>
  <c r="E586" i="6"/>
  <c r="E584" i="6" s="1"/>
  <c r="E582" i="6" s="1"/>
  <c r="D120" i="6"/>
  <c r="D64" i="6"/>
  <c r="E210" i="6"/>
  <c r="E64" i="6"/>
  <c r="D45" i="6"/>
  <c r="E72" i="6"/>
  <c r="D72" i="6"/>
  <c r="E285" i="6"/>
  <c r="D183" i="6"/>
  <c r="D8" i="6"/>
  <c r="D285" i="6"/>
  <c r="E351" i="6"/>
  <c r="E572" i="6"/>
  <c r="D210" i="6"/>
  <c r="D50" i="5"/>
  <c r="D343" i="6"/>
  <c r="E343" i="6"/>
  <c r="D335" i="6"/>
  <c r="E335" i="6"/>
  <c r="D327" i="6"/>
  <c r="E327" i="6"/>
  <c r="D319" i="6"/>
  <c r="E319" i="6"/>
  <c r="D311" i="6"/>
  <c r="E303" i="6"/>
  <c r="D272" i="6"/>
  <c r="E272" i="6"/>
  <c r="D263" i="6"/>
  <c r="E263" i="6"/>
  <c r="D244" i="6"/>
  <c r="E244" i="6"/>
  <c r="D235" i="6"/>
  <c r="D227" i="6"/>
  <c r="E227" i="6"/>
  <c r="D220" i="6"/>
  <c r="E220" i="6"/>
  <c r="E201" i="6"/>
  <c r="E192" i="6"/>
  <c r="D174" i="6"/>
  <c r="E174" i="6"/>
  <c r="D165" i="6"/>
  <c r="E165" i="6"/>
  <c r="D156" i="6"/>
  <c r="E156" i="6"/>
  <c r="D138" i="6"/>
  <c r="E138" i="6"/>
  <c r="D147" i="6"/>
  <c r="E147" i="6"/>
  <c r="E120" i="6"/>
  <c r="D108" i="6"/>
  <c r="E108" i="6"/>
  <c r="D99" i="6"/>
  <c r="E99" i="6"/>
  <c r="D8" i="1"/>
  <c r="C50" i="2"/>
  <c r="H571" i="6" l="1"/>
  <c r="D548" i="6"/>
  <c r="D634" i="6"/>
  <c r="D613" i="6"/>
  <c r="D611" i="6" s="1"/>
  <c r="E548" i="6"/>
  <c r="D54" i="1"/>
</calcChain>
</file>

<file path=xl/sharedStrings.xml><?xml version="1.0" encoding="utf-8"?>
<sst xmlns="http://schemas.openxmlformats.org/spreadsheetml/2006/main" count="1753" uniqueCount="897">
  <si>
    <t>Klaipėdos rajono savivaldybės tarybos</t>
  </si>
  <si>
    <t>2022 m. sausio 27 d. sprendimo Nr. T11-</t>
  </si>
  <si>
    <t xml:space="preserve">          1 priedas</t>
  </si>
  <si>
    <t xml:space="preserve"> 2022  METŲ  SAVIVALDYBĖS  BIUDŽETO  PAJAMOS</t>
  </si>
  <si>
    <t>Eil. Nr.</t>
  </si>
  <si>
    <t>Pajamų rūšys</t>
  </si>
  <si>
    <t>Sumos tūkst. eurų</t>
  </si>
  <si>
    <t>1.</t>
  </si>
  <si>
    <t>Mokesčiai</t>
  </si>
  <si>
    <t>1.1.</t>
  </si>
  <si>
    <t>Gyventojų pajamų mokestis</t>
  </si>
  <si>
    <t>1.2.</t>
  </si>
  <si>
    <t>Turto mokesčiai</t>
  </si>
  <si>
    <t>1.2.1.</t>
  </si>
  <si>
    <t>Žemės mokestis</t>
  </si>
  <si>
    <t>1.2.2.</t>
  </si>
  <si>
    <t>Paveldimo  turto mokestis</t>
  </si>
  <si>
    <t>1.2.3.</t>
  </si>
  <si>
    <t>Nekilnojamojo turto mokestis</t>
  </si>
  <si>
    <t>1.3.</t>
  </si>
  <si>
    <t>Prekių ir paslaugų mokesčiai</t>
  </si>
  <si>
    <t>1.3.1.</t>
  </si>
  <si>
    <t>Mokestis už aplinkos teršimą</t>
  </si>
  <si>
    <t>2.</t>
  </si>
  <si>
    <t>Dotacijos iš kitų valdžios sektoriaus subjektų</t>
  </si>
  <si>
    <t>2.1.</t>
  </si>
  <si>
    <t xml:space="preserve">Speciali tikslinė dotacija </t>
  </si>
  <si>
    <t>2.1.1.</t>
  </si>
  <si>
    <t>Valstybinėms (valstybės perduotoms savivaldybėms) funkcijoms atlikti (VBD)</t>
  </si>
  <si>
    <t>2.1.2.</t>
  </si>
  <si>
    <t>Mokymo reikmėms finansuoti (ML)</t>
  </si>
  <si>
    <t>2.2.</t>
  </si>
  <si>
    <t xml:space="preserve">Kita tikslinė dotacija </t>
  </si>
  <si>
    <t>2.2.1.</t>
  </si>
  <si>
    <t>Klasių, skirtų mokiniams, turintiems specialiųjų ugdymosi poreikių, ūkio lėšoms finansuoti (VBD)</t>
  </si>
  <si>
    <t>2.2.2.</t>
  </si>
  <si>
    <t>Iš apskrities perduotai įstaigai finansuoti (VBD)</t>
  </si>
  <si>
    <t>2.3.</t>
  </si>
  <si>
    <t>Kitos dotacijos</t>
  </si>
  <si>
    <t>2.3.1.</t>
  </si>
  <si>
    <t>Vietinės reikšmės keliams (gatvėms) tiesti, taisyti, prižiūrėti ir saugaus eismo sąlygoms užtikrinti (KPPP)</t>
  </si>
  <si>
    <t>2.3.2.</t>
  </si>
  <si>
    <t>Aplinkosauginėms priemonėms pagal dotacijų sutartis (VBD)</t>
  </si>
  <si>
    <t>2.3.3.</t>
  </si>
  <si>
    <t>Akredituotai vaikų dienos socialinei priežiūrai organizuoti, teikti ir administruoti (VBD)</t>
  </si>
  <si>
    <t>2.3.4.</t>
  </si>
  <si>
    <t>Neformaliojo vaikų švietimo programai įgyvendinti (VBD)</t>
  </si>
  <si>
    <t>2.3.5.</t>
  </si>
  <si>
    <t>Vadovaujančių darbuotojų minimaliems pareiginės algos koeficientams padidinti, siekiant pagerinti jų darbo apmokėjimo sąlygas (VBD)</t>
  </si>
  <si>
    <t>2.3.6.</t>
  </si>
  <si>
    <t>2.3.7.</t>
  </si>
  <si>
    <t>Pagal 2014-2020 metų Europos Sąjungos fondų investicijų veiksmų programas įgyvendinamų projektų nuosavam indėliui užtikrinti (VBD)</t>
  </si>
  <si>
    <t>2.3.8.</t>
  </si>
  <si>
    <t>Gyvenamųjų vietovių bendruomenių rėmimo programai įgyvendinti (VBD)</t>
  </si>
  <si>
    <t>2.3.9.</t>
  </si>
  <si>
    <t>2.3.10.</t>
  </si>
  <si>
    <t>Projektams, numatytiems VIP programoje, įgyvendinti (VBD(VIP))</t>
  </si>
  <si>
    <t>2.4.</t>
  </si>
  <si>
    <t>Dotacija savivaldybėms iš Europos Sąjungos, kitos tarptautinės finansinės paramos ir bendrojo finansavimo lėšų</t>
  </si>
  <si>
    <t>Patirtoms išlaidoms, siekiant šalinti COVID-19 ligos padarinius ir valdyti jos plitimą esant valstybės lygio ekstremaliajai situacijai, kompensuoti (VBD)COVID))</t>
  </si>
  <si>
    <t>3.</t>
  </si>
  <si>
    <t>Turto pajamos</t>
  </si>
  <si>
    <t>3.1.</t>
  </si>
  <si>
    <t>Nuomos mokestis už valstybinę žemę ir valstybinio vidaus vandenų fondo vandens telkinius</t>
  </si>
  <si>
    <t>3.2.</t>
  </si>
  <si>
    <t>Mokestis už medžiojamų gyvūnų išteklius</t>
  </si>
  <si>
    <t>3.3.</t>
  </si>
  <si>
    <t>Kiti mokesčiai už valstybinius gamtos išteklius</t>
  </si>
  <si>
    <t>3.4.</t>
  </si>
  <si>
    <t>Angliavandenilių išteklių mokestis</t>
  </si>
  <si>
    <t>3.5.</t>
  </si>
  <si>
    <t>Dividendai</t>
  </si>
  <si>
    <t>4.</t>
  </si>
  <si>
    <t>Pajamos už prekes ir paslaugas</t>
  </si>
  <si>
    <t>4.1.</t>
  </si>
  <si>
    <t>Pajamos už ilgalaikio ir trumpalaikio materialiojo turto nuomą</t>
  </si>
  <si>
    <t>4.2.</t>
  </si>
  <si>
    <t>4.3.</t>
  </si>
  <si>
    <t>Įmokos už išlaikymą švietimo, socialinės apsaugos įstaigose</t>
  </si>
  <si>
    <t>4.4.</t>
  </si>
  <si>
    <t>Valstybės rinkliava</t>
  </si>
  <si>
    <t>4.5.</t>
  </si>
  <si>
    <t>Vietinės rinkliavos</t>
  </si>
  <si>
    <t>4.5.1.</t>
  </si>
  <si>
    <t>Komunalinių atliekų surinkimą iš atliekų turėtojų ir atliekų tvarkymą</t>
  </si>
  <si>
    <t>5.</t>
  </si>
  <si>
    <t>Pajamos iš baudų ir konfiskacijos</t>
  </si>
  <si>
    <t>6.</t>
  </si>
  <si>
    <t>Kitos pajamos</t>
  </si>
  <si>
    <t>7.</t>
  </si>
  <si>
    <t>Materialiojo ir nematerialiojo turto realizavimo pajamos</t>
  </si>
  <si>
    <t>7.1.</t>
  </si>
  <si>
    <t>Pajamos už parduotą žemę</t>
  </si>
  <si>
    <t>9.</t>
  </si>
  <si>
    <t>Iš viso pajamų:</t>
  </si>
  <si>
    <t xml:space="preserve">                                          _______________________</t>
  </si>
  <si>
    <t>3 priedas</t>
  </si>
  <si>
    <t xml:space="preserve">2022 METŲ IŠ SAVIVALDYBĖS BIUDŽETO IŠLAIKOMŲ ĮSTAIGŲ PLANUOJAMŲ PAJAMŲ ĮMOKOS Į SAVIVALDYBĖS BIUDŽETĄ </t>
  </si>
  <si>
    <t>tūkst. eurų</t>
  </si>
  <si>
    <t>Įstaigos pavadinimas</t>
  </si>
  <si>
    <t>Iš viso:</t>
  </si>
  <si>
    <t>Įmokos už išlaikymą švietimo, socialinės apsaugos ir kitose įstaigose</t>
  </si>
  <si>
    <t>Gargždų ,,Vaivorykštės" gimnazija</t>
  </si>
  <si>
    <t>Priekulės Ievos Simonaitytės gimnazija</t>
  </si>
  <si>
    <t>Veiviržėnų Jurgio Šaulio gimnazija</t>
  </si>
  <si>
    <t>Endriejavo pagrindinė mokykla</t>
  </si>
  <si>
    <t>Gargždų ,,Kranto" pagrindinė mokykla</t>
  </si>
  <si>
    <t>Gargždų ,,Minijos" progimnazija</t>
  </si>
  <si>
    <t>Agluonėnų pagrindinė mokykla</t>
  </si>
  <si>
    <t>8.</t>
  </si>
  <si>
    <t>Dituvos pagrindinė mokykla</t>
  </si>
  <si>
    <t>Dovilų pagrindinė mokykla</t>
  </si>
  <si>
    <t>10.</t>
  </si>
  <si>
    <t>Ketvergių pagrindinė mokykla</t>
  </si>
  <si>
    <t>11.</t>
  </si>
  <si>
    <t>Kretingalės pagrindinė mokykla</t>
  </si>
  <si>
    <t>12.</t>
  </si>
  <si>
    <t>Lapių pagrindinė mokykla</t>
  </si>
  <si>
    <t>13.</t>
  </si>
  <si>
    <t>Plikių Ievos Labutytės pagrindinė mokykla</t>
  </si>
  <si>
    <t>14.</t>
  </si>
  <si>
    <t>Vėžaičių pagrindinė mokykla</t>
  </si>
  <si>
    <t>15.</t>
  </si>
  <si>
    <t>Slengių mokykla - daugiafunkcis centras</t>
  </si>
  <si>
    <t>16.</t>
  </si>
  <si>
    <t>Gargždų lopšelis-darželis ,,Ąžuoliukas"</t>
  </si>
  <si>
    <t>17.</t>
  </si>
  <si>
    <t>Gargždų lopšelis-darželis ,,Gintarėlis"</t>
  </si>
  <si>
    <t>18.</t>
  </si>
  <si>
    <t>Gargždų lopšelis-darželis ,,Saulutė"</t>
  </si>
  <si>
    <t>19.</t>
  </si>
  <si>
    <t>Gargždų lopšelis-darželis ,,Naminukas"</t>
  </si>
  <si>
    <t>20.</t>
  </si>
  <si>
    <t>Priekulės vaikų lopšelis-darželis</t>
  </si>
  <si>
    <t>21.</t>
  </si>
  <si>
    <t>Gargždų muzikos mokykla</t>
  </si>
  <si>
    <t>22.</t>
  </si>
  <si>
    <t>Gargždų vaikų ir jaunimo laisvalaikio centras</t>
  </si>
  <si>
    <t>23.</t>
  </si>
  <si>
    <t>Klaipėdos rajono švietimo centras</t>
  </si>
  <si>
    <t>24.</t>
  </si>
  <si>
    <t>Gargždų atviras jaunimo centras</t>
  </si>
  <si>
    <t>25.</t>
  </si>
  <si>
    <t>Klaipėdos rajono turizmo informacijos centras</t>
  </si>
  <si>
    <t>26.</t>
  </si>
  <si>
    <t>Klaipėdos r. savivaldybės visuomenės sveikatos biuras</t>
  </si>
  <si>
    <t>27.</t>
  </si>
  <si>
    <t>Gargždų socialinių paslaugų centras</t>
  </si>
  <si>
    <t>28.</t>
  </si>
  <si>
    <t>Klaipėdos r. paramos šeimai centras</t>
  </si>
  <si>
    <t>29.</t>
  </si>
  <si>
    <t>Priekulės socialinių paslaugų centras</t>
  </si>
  <si>
    <t>30.</t>
  </si>
  <si>
    <t>Viliaus Gaigalaičio globos namai</t>
  </si>
  <si>
    <t>31.</t>
  </si>
  <si>
    <t>Jono Lankučio viešoji biblioteka</t>
  </si>
  <si>
    <t>32.</t>
  </si>
  <si>
    <t>Gargždų krašto muziejus</t>
  </si>
  <si>
    <t>33.</t>
  </si>
  <si>
    <t>Gargždų kultūros centras</t>
  </si>
  <si>
    <t>34.</t>
  </si>
  <si>
    <t>Dovilų etninės kultūros centras</t>
  </si>
  <si>
    <t>35.</t>
  </si>
  <si>
    <t>Kretingalės kultūros centras</t>
  </si>
  <si>
    <t>36.</t>
  </si>
  <si>
    <t>Priekulės kultūros centras</t>
  </si>
  <si>
    <t>37.</t>
  </si>
  <si>
    <t>Veiviržėnų kultūros centras</t>
  </si>
  <si>
    <t>38.</t>
  </si>
  <si>
    <t>Vėžaičių kultūros centras</t>
  </si>
  <si>
    <t>39.</t>
  </si>
  <si>
    <t>Sporto centras</t>
  </si>
  <si>
    <t>40.</t>
  </si>
  <si>
    <t>Klaipėdos r. sav. priešgaisrinė tarnyba</t>
  </si>
  <si>
    <t>41.</t>
  </si>
  <si>
    <t>Savivaldybės administracija</t>
  </si>
  <si>
    <t>IŠ VISO PAJAMŲ:</t>
  </si>
  <si>
    <t>Klaipėdos rajono savivaldybės</t>
  </si>
  <si>
    <t xml:space="preserve">tarybos 2022 m. sausio 27 d. </t>
  </si>
  <si>
    <t>sprendimo Nr. T11-</t>
  </si>
  <si>
    <t>2 priedas</t>
  </si>
  <si>
    <t>SAVIVALDYBĖS BIUDŽETO LĖŠŲ LIKUČIAI IR SKOLINTOS LĖŠOS</t>
  </si>
  <si>
    <t>Lėšų pavadinimas</t>
  </si>
  <si>
    <t xml:space="preserve">Suma </t>
  </si>
  <si>
    <t>Savivaldybės biudžeto 2021 m. lėšų likučiai:</t>
  </si>
  <si>
    <t>Savivaldybės biudžeto 2021 m. lėšų likutis (LK)</t>
  </si>
  <si>
    <t>Savivaldybės biudžeto 2021 m.viršplaninės pajamos (VLK)</t>
  </si>
  <si>
    <t>Aplinkos apsaugos rėmimo specialiosios programos 2021 m. lėšų likutis (LA)</t>
  </si>
  <si>
    <t>1.4.</t>
  </si>
  <si>
    <t>Pajamų už paslaugas ir nuomą 2021 m. likutis (LS)</t>
  </si>
  <si>
    <t>1.5.</t>
  </si>
  <si>
    <t>Pajamų už parduotą žemę 2021 m. likutis (LŽ)</t>
  </si>
  <si>
    <t>1.6.</t>
  </si>
  <si>
    <t>Vietinės rinkliavos už komunalinių atliekų surinkimą iš atliekų turėtojų ir atliekų tvarkymą 2021 m. likutis (LGŠV)</t>
  </si>
  <si>
    <t>Skolintos lėšos (SL)</t>
  </si>
  <si>
    <t xml:space="preserve">                                          ____________________</t>
  </si>
  <si>
    <t>4 priedas</t>
  </si>
  <si>
    <t xml:space="preserve">2022 METŲ SPECIALI TIKSLINĖ DOTACIJA VALSTYBINĖMS (VALSTYBĖS PERDUOTOMS SAVIVALDYBĖMS) FUNKCIJOMS VYKDYTI </t>
  </si>
  <si>
    <t>Gyv. registro tvarkymas ir duomenų valstybės registrui teikimas</t>
  </si>
  <si>
    <t>Civilinės būklės aktų registravimas</t>
  </si>
  <si>
    <t>Civilinės saugos organizavimas</t>
  </si>
  <si>
    <t>Priešgaisrinės saugos organizavimas</t>
  </si>
  <si>
    <t>Socialinėms išmokoms ir kompensacijoms skaičiuoti ir mokėti</t>
  </si>
  <si>
    <t>Valstybinės kalbos vartojimo ir taisyklingumo kontrolė</t>
  </si>
  <si>
    <t>Žemės ūkio funkcijoms atlikti</t>
  </si>
  <si>
    <t>Melioracijai (išlaidoms)</t>
  </si>
  <si>
    <t>Savivaldybei priskirtai valstybinei žemei ir kitam valstybiniam turtui valdyti, naudoti ir disponuoti juo patikėjimo teise</t>
  </si>
  <si>
    <t>Archy-vinių dokumentų tvarkymas</t>
  </si>
  <si>
    <t>Dalyvavimas rengiant ir vykdant mobilizaciją, demobilizaciją, priimančiosios šalies paramą</t>
  </si>
  <si>
    <t>Jaunimo teisių apsaugai</t>
  </si>
  <si>
    <t>Valstybės garantuojamos pirminės teisinės pagalbos teikimas</t>
  </si>
  <si>
    <t>Gyvenamosios vietos deklaravimas</t>
  </si>
  <si>
    <t>Duomenų teikimas Valstybės suteiktos pagalbos registrui</t>
  </si>
  <si>
    <t>Socialinei paramai mokiniams</t>
  </si>
  <si>
    <t>Socialinėms paslaugoms</t>
  </si>
  <si>
    <t>Mokinių visuomenės sveikatos priežiūrai švietimo įstaigose, visuomenės seikatos stiprinimui ir stebėsenai</t>
  </si>
  <si>
    <t>Plėtoti visuomenės psichikos
sveikatos paslaugų
prieinamumą bei ankstyvojo
savižudybių atpažinimo ir
kompleksinės pagalbos
teikimo sistemą</t>
  </si>
  <si>
    <t>Būsto nuomos ar išperkamosios būsto nuomos mokesčių dalies kompensacijoms</t>
  </si>
  <si>
    <t>Neveiksnių asmenų būklės peržiūrėjimas</t>
  </si>
  <si>
    <t>Savivaldybių patvirtintoms užimtumo didinimo programoms įgyvendinti</t>
  </si>
  <si>
    <t>Savivaldybės erdvinių duomenų rinkinio tvarkymas</t>
  </si>
  <si>
    <t>Koordinuotai teikiamų paslaugų vaikams nuo gimimo iki 18 metų (turint didelių ir labai didelių specialiųjų ugdymosi poreikių - iki 21 metų) ir vaiko atstovams koordinavimui finansuoti</t>
  </si>
  <si>
    <t>Klaipėdos r. savivaldybės administracija</t>
  </si>
  <si>
    <t>Klaipėdos r. savivaldybės priešgaisrinė tarnyba</t>
  </si>
  <si>
    <t>Klaipėdos rajono paramos šeimai centras</t>
  </si>
  <si>
    <t>5 priedas</t>
  </si>
  <si>
    <t>2022 METŲ SAVIVALDYBĖS BIUDŽETO ASIGNAVIMAI</t>
  </si>
  <si>
    <t xml:space="preserve">Asignavimų valdytojo pavadinimas, programos numeris ir pavadinimas </t>
  </si>
  <si>
    <t>Funkcinės klasifikacijos kodas</t>
  </si>
  <si>
    <t>iš jų: darbo užmokesčiui</t>
  </si>
  <si>
    <t>Iš jų:</t>
  </si>
  <si>
    <t>1. Žinių visuomenės plėtros programa</t>
  </si>
  <si>
    <t>09.</t>
  </si>
  <si>
    <t>1.1.1.</t>
  </si>
  <si>
    <t>Iš jos: savivaldybės lėšos (SB)</t>
  </si>
  <si>
    <t>1.1.2.</t>
  </si>
  <si>
    <t>speciali tikslinė dotacija mokymo reikmėms finansuoti (ML)</t>
  </si>
  <si>
    <t>1.1.3.</t>
  </si>
  <si>
    <t>kita  dotacija (VBD)</t>
  </si>
  <si>
    <t>1.1.4.</t>
  </si>
  <si>
    <t>lėšos už paslaugas ir nuomą (S)</t>
  </si>
  <si>
    <t>9. Savivaldybės valdymo ir pagrindinių funkcijų vykdymo programa</t>
  </si>
  <si>
    <t xml:space="preserve">Priekulės Ievos Simonaitytės gimnazija </t>
  </si>
  <si>
    <t>2.1.3.</t>
  </si>
  <si>
    <t>klasių, skirtų mokiniams, turintiems specialiųjų ugdymosi poreikių, ūkio lėšos (VBD)</t>
  </si>
  <si>
    <t>2.1.4.</t>
  </si>
  <si>
    <t>2.1.5.</t>
  </si>
  <si>
    <t>3.1.1.</t>
  </si>
  <si>
    <t>3.1.2.</t>
  </si>
  <si>
    <t>3.1.3.</t>
  </si>
  <si>
    <t>kita dotacija (VBD)</t>
  </si>
  <si>
    <t>3.1.4.</t>
  </si>
  <si>
    <t>3.2.1.</t>
  </si>
  <si>
    <t>4.1.1.</t>
  </si>
  <si>
    <t>4.1.2.</t>
  </si>
  <si>
    <t>4.1.3.</t>
  </si>
  <si>
    <t>4.1.4.</t>
  </si>
  <si>
    <t>4.2.1.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</si>
  <si>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</si>
  <si>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</si>
  <si>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</si>
  <si>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</si>
  <si>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</si>
  <si>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</si>
  <si>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</si>
  <si>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</si>
  <si>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6.1.</t>
  </si>
  <si>
    <t>6.1.1.</t>
  </si>
  <si>
    <t>6.1.2.</t>
  </si>
  <si>
    <t>6.1.3.</t>
  </si>
  <si>
    <t>6.1.4.</t>
  </si>
  <si>
    <t>6.2.</t>
  </si>
  <si>
    <t>6.2.1.</t>
  </si>
  <si>
    <t>7.1.1.</t>
  </si>
  <si>
    <t>7.1.2.</t>
  </si>
  <si>
    <t>7.1.3.</t>
  </si>
  <si>
    <t>7.2.</t>
  </si>
  <si>
    <t>7.2.1.</t>
  </si>
  <si>
    <t>8.1.</t>
  </si>
  <si>
    <t>8.1.1.</t>
  </si>
  <si>
    <t>8.1.2.</t>
  </si>
  <si>
    <t>8.1.3.</t>
  </si>
  <si>
    <t>8.1.4.</t>
  </si>
  <si>
    <t>8.2.</t>
  </si>
  <si>
    <t>8.2.1.</t>
  </si>
  <si>
    <t>9.1.</t>
  </si>
  <si>
    <t>9.1.1.</t>
  </si>
  <si>
    <t>9.1.2.</t>
  </si>
  <si>
    <t>9.1.3.</t>
  </si>
  <si>
    <t>9.1.4.</t>
  </si>
  <si>
    <t>9.2.</t>
  </si>
  <si>
    <t>9.2.1.</t>
  </si>
  <si>
    <t>10.1</t>
  </si>
  <si>
    <t>10.1.1.</t>
  </si>
  <si>
    <t>10.1.2.</t>
  </si>
  <si>
    <t>10.1.3.</t>
  </si>
  <si>
    <t>10.1.4.</t>
  </si>
  <si>
    <t>10.2.</t>
  </si>
  <si>
    <t>10.2.1.</t>
  </si>
  <si>
    <t>11.1.</t>
  </si>
  <si>
    <t>11.1.1.</t>
  </si>
  <si>
    <t>11.1.2.</t>
  </si>
  <si>
    <t>11.1.3.</t>
  </si>
  <si>
    <t>11.1.4.</t>
  </si>
  <si>
    <t>11.2.</t>
  </si>
  <si>
    <t>11.2.1.</t>
  </si>
  <si>
    <t>12.1.</t>
  </si>
  <si>
    <t>12.1.1.</t>
  </si>
  <si>
    <t>12.1.2.</t>
  </si>
  <si>
    <t>12.1.3.</t>
  </si>
  <si>
    <t>12.1.4.</t>
  </si>
  <si>
    <t>12.2.</t>
  </si>
  <si>
    <t>5. Socialinės apsaugos ir NVO politikos programa</t>
  </si>
  <si>
    <t>12.2.1.</t>
  </si>
  <si>
    <t>12.2.2.</t>
  </si>
  <si>
    <t>12.3.</t>
  </si>
  <si>
    <t>12.3.1.</t>
  </si>
  <si>
    <t>13.1.</t>
  </si>
  <si>
    <t>13.1.1.</t>
  </si>
  <si>
    <t>13.1.2.</t>
  </si>
  <si>
    <t>13.1.3.</t>
  </si>
  <si>
    <t>13.1.4.</t>
  </si>
  <si>
    <t>13.2.</t>
  </si>
  <si>
    <t>13.2.1.</t>
  </si>
  <si>
    <t>14.1.</t>
  </si>
  <si>
    <t>14.1.1.</t>
  </si>
  <si>
    <t>14.1.2.</t>
  </si>
  <si>
    <t>14.1.3.</t>
  </si>
  <si>
    <t>14.1.4.</t>
  </si>
  <si>
    <t>14.2.</t>
  </si>
  <si>
    <t>14.2.1.</t>
  </si>
  <si>
    <t>Slengių mokykla-daugiafunkcis centras</t>
  </si>
  <si>
    <t>15.1.</t>
  </si>
  <si>
    <t>15.1.1.</t>
  </si>
  <si>
    <t>15.1.2.</t>
  </si>
  <si>
    <t>15.1.3.</t>
  </si>
  <si>
    <t>15.1.4.</t>
  </si>
  <si>
    <t>15.2.</t>
  </si>
  <si>
    <t>15.2.1.</t>
  </si>
  <si>
    <t>16.1.</t>
  </si>
  <si>
    <t>16.1.1.</t>
  </si>
  <si>
    <t>16.1.2.</t>
  </si>
  <si>
    <t>16.1.3.</t>
  </si>
  <si>
    <t>16.1.4.</t>
  </si>
  <si>
    <t>16.2.</t>
  </si>
  <si>
    <t>16.2.1.</t>
  </si>
  <si>
    <t>17.1.</t>
  </si>
  <si>
    <t>17.1.1.</t>
  </si>
  <si>
    <t>17.1.2.</t>
  </si>
  <si>
    <t>17.1.3.</t>
  </si>
  <si>
    <t>17.1.4.</t>
  </si>
  <si>
    <t>17.2.</t>
  </si>
  <si>
    <t>17.2.1.</t>
  </si>
  <si>
    <t>18.1.</t>
  </si>
  <si>
    <t>18.1.1.</t>
  </si>
  <si>
    <t>18.1.2.</t>
  </si>
  <si>
    <t>18.1.3.</t>
  </si>
  <si>
    <t>18.1.4.</t>
  </si>
  <si>
    <t>18.2.</t>
  </si>
  <si>
    <t>18.2.1.</t>
  </si>
  <si>
    <t>19.1.</t>
  </si>
  <si>
    <t>19.1.1.</t>
  </si>
  <si>
    <t>19.1.2.</t>
  </si>
  <si>
    <t>19.1.3.</t>
  </si>
  <si>
    <t>19.1.4.</t>
  </si>
  <si>
    <t>19.2.</t>
  </si>
  <si>
    <t>19.2.1.</t>
  </si>
  <si>
    <t>20.1.</t>
  </si>
  <si>
    <t>20.1.1.</t>
  </si>
  <si>
    <t>20.1.2.</t>
  </si>
  <si>
    <t>20.1.3.</t>
  </si>
  <si>
    <t>20.1.4.</t>
  </si>
  <si>
    <t>20.2.</t>
  </si>
  <si>
    <t>20.2.1.</t>
  </si>
  <si>
    <t>21.1.</t>
  </si>
  <si>
    <t>21.1.1.</t>
  </si>
  <si>
    <t>21.1.2.</t>
  </si>
  <si>
    <t>21.1.3.</t>
  </si>
  <si>
    <t>21.2.</t>
  </si>
  <si>
    <t>21.2.1.</t>
  </si>
  <si>
    <t>22.1.</t>
  </si>
  <si>
    <t>22.1.1.</t>
  </si>
  <si>
    <t>22.1.2.</t>
  </si>
  <si>
    <t>22.1.4.</t>
  </si>
  <si>
    <t>22.2.</t>
  </si>
  <si>
    <t>22.2.1.</t>
  </si>
  <si>
    <t>23.1.</t>
  </si>
  <si>
    <t>23.1.1.</t>
  </si>
  <si>
    <t>23.1.2.</t>
  </si>
  <si>
    <t>23.2.</t>
  </si>
  <si>
    <t>4. Sveikatos apsaugos programa</t>
  </si>
  <si>
    <t>23.2.1.</t>
  </si>
  <si>
    <t>Iš jų: Aplinkos apsaugos rėmimo specialioji programa (AA)</t>
  </si>
  <si>
    <t>23.3.</t>
  </si>
  <si>
    <t>01.</t>
  </si>
  <si>
    <t>23.3.1.</t>
  </si>
  <si>
    <t>Pedagoginė psichologinė tarnyba</t>
  </si>
  <si>
    <t>24.1.</t>
  </si>
  <si>
    <t>24.1.1.</t>
  </si>
  <si>
    <t>24.1.2.</t>
  </si>
  <si>
    <t>24.2.</t>
  </si>
  <si>
    <t>24.2.1.</t>
  </si>
  <si>
    <t>25.1.</t>
  </si>
  <si>
    <t>25.1.1.</t>
  </si>
  <si>
    <t>25.1.2.</t>
  </si>
  <si>
    <t>25.1.3.</t>
  </si>
  <si>
    <t>25.2.</t>
  </si>
  <si>
    <t>25.2.1.</t>
  </si>
  <si>
    <t>26.1.</t>
  </si>
  <si>
    <t>2. Ekonominio konkurencingumo didinimo programa</t>
  </si>
  <si>
    <t>04.</t>
  </si>
  <si>
    <t>26.1.1.</t>
  </si>
  <si>
    <t>26.1.2.</t>
  </si>
  <si>
    <t>Dotacija iš Europos Sąjungos, kitos tarptautinės finansinės paramos ir bendrojo finansavimo lėšos (ES)</t>
  </si>
  <si>
    <t>26.1.3.</t>
  </si>
  <si>
    <t>26.1.4.</t>
  </si>
  <si>
    <t>26.2.</t>
  </si>
  <si>
    <t>26.2.1.</t>
  </si>
  <si>
    <t>Klaipėdos rajono savivaldybės visuomenės sveikatos biuras</t>
  </si>
  <si>
    <t>27.1.</t>
  </si>
  <si>
    <t>07.</t>
  </si>
  <si>
    <t>27.1.1.</t>
  </si>
  <si>
    <t>27.1.2.</t>
  </si>
  <si>
    <t xml:space="preserve"> valstybinėms funkcijoms (VBD)</t>
  </si>
  <si>
    <t>27.1.3.</t>
  </si>
  <si>
    <t>27.1.4.</t>
  </si>
  <si>
    <t>27.1.5.</t>
  </si>
  <si>
    <t>Dotacija savivaldybėms iš Europos Sąjungos, kitos tarptautinės finansinės paramos ir bendrojo finansavimo lėšos (ES,VBES,EEE,EEEVB)</t>
  </si>
  <si>
    <t>27.1.6.</t>
  </si>
  <si>
    <t xml:space="preserve"> Aplinkos apsaugos rėmimo specialioji programa (AA)</t>
  </si>
  <si>
    <t>27.2.</t>
  </si>
  <si>
    <t>27.2.1.</t>
  </si>
  <si>
    <t xml:space="preserve">Gargždų socialinių paslaugų centras </t>
  </si>
  <si>
    <t>28.1.</t>
  </si>
  <si>
    <t>28.1.1.</t>
  </si>
  <si>
    <t>28.1.2.</t>
  </si>
  <si>
    <t>28.1.3.</t>
  </si>
  <si>
    <t>28.2.</t>
  </si>
  <si>
    <t>28.2.1.</t>
  </si>
  <si>
    <t xml:space="preserve">Klaipėdos rajono paramos šeimai centras </t>
  </si>
  <si>
    <t>29.1.</t>
  </si>
  <si>
    <t>29.1.1.</t>
  </si>
  <si>
    <t>29.1.2.</t>
  </si>
  <si>
    <t>29.1.3.</t>
  </si>
  <si>
    <t>29.1.4.</t>
  </si>
  <si>
    <t>29.2.</t>
  </si>
  <si>
    <t>29.2.1.</t>
  </si>
  <si>
    <t xml:space="preserve">Priekulės socialinių paslaugų centras </t>
  </si>
  <si>
    <t>30.1.</t>
  </si>
  <si>
    <t>30.1.1.</t>
  </si>
  <si>
    <t>30.1.2.</t>
  </si>
  <si>
    <t>30.1.3.</t>
  </si>
  <si>
    <t>30.2.</t>
  </si>
  <si>
    <t>30.2.1.</t>
  </si>
  <si>
    <t>31.1.</t>
  </si>
  <si>
    <t>31.1.1.</t>
  </si>
  <si>
    <t>Iš jos: kita tikslinė dotacija  (VBD)</t>
  </si>
  <si>
    <t>31.1.2.</t>
  </si>
  <si>
    <t>savivaldybės lėšos (SB)</t>
  </si>
  <si>
    <t>32.1.</t>
  </si>
  <si>
    <t>7. Kultūros paveldo puoselėjimo ir kultūros paslaugų plėtros programa</t>
  </si>
  <si>
    <t>08.</t>
  </si>
  <si>
    <t>32.1.1.</t>
  </si>
  <si>
    <t>32.1.2.</t>
  </si>
  <si>
    <t>32.1.3.</t>
  </si>
  <si>
    <t>32.1.4.</t>
  </si>
  <si>
    <t>32.2.</t>
  </si>
  <si>
    <t>32.2.1.</t>
  </si>
  <si>
    <t>33.1.</t>
  </si>
  <si>
    <t>33.1.1.</t>
  </si>
  <si>
    <t>33.1.2.</t>
  </si>
  <si>
    <t>33.1.3.</t>
  </si>
  <si>
    <t>33.1.4.</t>
  </si>
  <si>
    <t>Dotacija savivaldybėms iš Europos Sąjungos, kitos tarptautinės finansinės paramos ir bendrojo finansavimo lėšos (ES, VBES)</t>
  </si>
  <si>
    <t>33.2.</t>
  </si>
  <si>
    <t>33.2.1.</t>
  </si>
  <si>
    <t>34.1.</t>
  </si>
  <si>
    <t>34.1.1.</t>
  </si>
  <si>
    <t>34.1.2.</t>
  </si>
  <si>
    <t>34.1.3.</t>
  </si>
  <si>
    <t>34.2.</t>
  </si>
  <si>
    <t>34.2.1.</t>
  </si>
  <si>
    <t>35.1.</t>
  </si>
  <si>
    <t>35.1.1.</t>
  </si>
  <si>
    <t>35.1.2.</t>
  </si>
  <si>
    <t>35.1.3.</t>
  </si>
  <si>
    <t>35.2.</t>
  </si>
  <si>
    <t>35.2.1.</t>
  </si>
  <si>
    <t>36.1.</t>
  </si>
  <si>
    <t>36.1.1.</t>
  </si>
  <si>
    <t>36.1.2.</t>
  </si>
  <si>
    <t>36.1.3.</t>
  </si>
  <si>
    <t>36.2.</t>
  </si>
  <si>
    <t>37.1.</t>
  </si>
  <si>
    <t>37.1.1.</t>
  </si>
  <si>
    <t>37.1.2.</t>
  </si>
  <si>
    <t>37.1.3.</t>
  </si>
  <si>
    <t>37.2.</t>
  </si>
  <si>
    <t>37.2.1.</t>
  </si>
  <si>
    <t>38.1.</t>
  </si>
  <si>
    <t>38.1.1.</t>
  </si>
  <si>
    <t>38.1.2.</t>
  </si>
  <si>
    <t>38.1.3.</t>
  </si>
  <si>
    <t>38.2.</t>
  </si>
  <si>
    <t>38.2.1.</t>
  </si>
  <si>
    <t>39.1.</t>
  </si>
  <si>
    <t>39.1.1.</t>
  </si>
  <si>
    <t>39.1.2.</t>
  </si>
  <si>
    <t>39.1.3.</t>
  </si>
  <si>
    <t>39.2.</t>
  </si>
  <si>
    <t>39.2.1.</t>
  </si>
  <si>
    <t>40.1.</t>
  </si>
  <si>
    <t>8. Kūno kultūros ir sporto plėtros programa</t>
  </si>
  <si>
    <t>40.1.1.</t>
  </si>
  <si>
    <t>40.1.2.</t>
  </si>
  <si>
    <t>40.1.3.</t>
  </si>
  <si>
    <t>40.2.</t>
  </si>
  <si>
    <t>40.2.1.</t>
  </si>
  <si>
    <t>41.1.</t>
  </si>
  <si>
    <t>03.</t>
  </si>
  <si>
    <t>41.1.1.</t>
  </si>
  <si>
    <t>valstybinei funkcijai (VBD)</t>
  </si>
  <si>
    <t>42.</t>
  </si>
  <si>
    <t>Kontrolės ir audito tarnyba</t>
  </si>
  <si>
    <t>42.1.</t>
  </si>
  <si>
    <t>42.1.1.</t>
  </si>
  <si>
    <t>43.</t>
  </si>
  <si>
    <t>43.1.</t>
  </si>
  <si>
    <t>43.1.1.</t>
  </si>
  <si>
    <t>43.1.2.</t>
  </si>
  <si>
    <t>43.1.3.</t>
  </si>
  <si>
    <t>43.1.4.</t>
  </si>
  <si>
    <t>Dotacija savivaldybėms iš Europos Sąjungos, kitos tarptautinės finansinės paramos ir bendrojo finansavimo lėšos (ES, VBES))</t>
  </si>
  <si>
    <t>43.2.</t>
  </si>
  <si>
    <t>43.2.1.</t>
  </si>
  <si>
    <t>43.2.1.1.</t>
  </si>
  <si>
    <t>Priekulės seniūnija</t>
  </si>
  <si>
    <t>43.2..2.</t>
  </si>
  <si>
    <t>43.2..3.</t>
  </si>
  <si>
    <t>43.3.</t>
  </si>
  <si>
    <t>3. Aplinkos apsaugos programa</t>
  </si>
  <si>
    <t>05.</t>
  </si>
  <si>
    <t>Iš jos:</t>
  </si>
  <si>
    <t>43.3.1.</t>
  </si>
  <si>
    <t>Aplinkos apsaugos rėmimo specialioji programa (AA)</t>
  </si>
  <si>
    <t>43.3.2.</t>
  </si>
  <si>
    <t>43.3.2.1.</t>
  </si>
  <si>
    <t>Agluonėnų seniūnija</t>
  </si>
  <si>
    <t>43.3.2.2.</t>
  </si>
  <si>
    <t>Dauparų-Kvietinių seniūnija</t>
  </si>
  <si>
    <t>43.3.2.3.</t>
  </si>
  <si>
    <t>Dovilų seniūnija</t>
  </si>
  <si>
    <t>43.3.2.4.</t>
  </si>
  <si>
    <t>Endriejavo seniūnija</t>
  </si>
  <si>
    <t>43.3.2.5.</t>
  </si>
  <si>
    <t>Gargždų seniūnija</t>
  </si>
  <si>
    <t>43.3.2.6.</t>
  </si>
  <si>
    <t>Judrėnų seniūnija</t>
  </si>
  <si>
    <t>43.3.2.7.</t>
  </si>
  <si>
    <t>Kretingalės seniūnija</t>
  </si>
  <si>
    <t>43.3.2.8.</t>
  </si>
  <si>
    <t>43.3.2.9.</t>
  </si>
  <si>
    <t>Sendvario seniūnija</t>
  </si>
  <si>
    <t>43.3.2.10.</t>
  </si>
  <si>
    <t>Veiviržėnų seniūnija</t>
  </si>
  <si>
    <t>43.3.2.11.</t>
  </si>
  <si>
    <t>Vėžaičių seniūnija</t>
  </si>
  <si>
    <t>43.3.3.</t>
  </si>
  <si>
    <t>43.3.3.1.</t>
  </si>
  <si>
    <t>43.3.4.</t>
  </si>
  <si>
    <t>43.3.6.</t>
  </si>
  <si>
    <t>Komunalinių atliekų surinkimo ir tvarkymo priemonių finansavimas (GŠV)</t>
  </si>
  <si>
    <t>43.3.7.</t>
  </si>
  <si>
    <t>lėšos už parduotą žemę (Ž)</t>
  </si>
  <si>
    <t>43.4.</t>
  </si>
  <si>
    <t>43.4.1.</t>
  </si>
  <si>
    <t>Iš jų: savivaldybės lėšos (SB)</t>
  </si>
  <si>
    <t>43.4.2.</t>
  </si>
  <si>
    <t>43.4.3.</t>
  </si>
  <si>
    <t>43.5.</t>
  </si>
  <si>
    <t>43.5.1.</t>
  </si>
  <si>
    <t>43.5.2.</t>
  </si>
  <si>
    <t>43.5.3.</t>
  </si>
  <si>
    <t>43.5.4.</t>
  </si>
  <si>
    <t>43.5.5.</t>
  </si>
  <si>
    <t>43.5.6.</t>
  </si>
  <si>
    <t>43.5.7.</t>
  </si>
  <si>
    <t>43.5.8.</t>
  </si>
  <si>
    <t>Dotacija Klaipėdos rajono savivaldybės gyvenamųjų vietovių bendruomenių rėmimo programai įgyvendinti (VBD)</t>
  </si>
  <si>
    <t>43.6.</t>
  </si>
  <si>
    <t>6. Susisiekimo ir inžinerinės infrastruktūros plėtros programa</t>
  </si>
  <si>
    <t>43.6.1.</t>
  </si>
  <si>
    <t>43.6.1.1.</t>
  </si>
  <si>
    <t>43.6.1.2.</t>
  </si>
  <si>
    <t>43.6.1.3.</t>
  </si>
  <si>
    <t>43.6.1.4.</t>
  </si>
  <si>
    <t>43.6.1.5.</t>
  </si>
  <si>
    <t>43.6.1.6.</t>
  </si>
  <si>
    <t>43.6.1.7.</t>
  </si>
  <si>
    <t>43.6.1.8.</t>
  </si>
  <si>
    <t>43.6.1.9.</t>
  </si>
  <si>
    <t>43.6.1.10.</t>
  </si>
  <si>
    <t>43.6.1.11.</t>
  </si>
  <si>
    <t>43.6.2.</t>
  </si>
  <si>
    <t>06.</t>
  </si>
  <si>
    <t>43.6.2.1.</t>
  </si>
  <si>
    <t>43.6.2.2.</t>
  </si>
  <si>
    <t>43.6.2.3.</t>
  </si>
  <si>
    <t>43.6.2.4.</t>
  </si>
  <si>
    <t>43.6.2.5.</t>
  </si>
  <si>
    <t>43.6.2.6.</t>
  </si>
  <si>
    <t>43.6.2.7.</t>
  </si>
  <si>
    <t>43.6.2.8.</t>
  </si>
  <si>
    <t>43.6.2.9.</t>
  </si>
  <si>
    <t>43.6.2.10.</t>
  </si>
  <si>
    <t>43.6.2.11.</t>
  </si>
  <si>
    <t>43.6.3.</t>
  </si>
  <si>
    <t>valstybės biudžeto dotacija vietinės reikšmės keliams (gatvėms) tiesti, taisyti, prižiūrėti ir saugaus eismo sąlygoms užtikrinti (KPPP)</t>
  </si>
  <si>
    <t>43.6.4.</t>
  </si>
  <si>
    <t>43.6.5.</t>
  </si>
  <si>
    <t>43.6.6.</t>
  </si>
  <si>
    <t>43.6.7.</t>
  </si>
  <si>
    <t>43.7.</t>
  </si>
  <si>
    <t>43.7.1.</t>
  </si>
  <si>
    <t>43.7.1.1.</t>
  </si>
  <si>
    <t>43.7.2.</t>
  </si>
  <si>
    <t>43.7.3.</t>
  </si>
  <si>
    <t>Dotacija Valstyvės investicijų programos lėšomis finansuojamam projektui įgyvendinti (VBD(VIP))</t>
  </si>
  <si>
    <t>43.8.</t>
  </si>
  <si>
    <t>43.8.1.</t>
  </si>
  <si>
    <t>43.8.2.</t>
  </si>
  <si>
    <t>43.9.</t>
  </si>
  <si>
    <t>43.9.1.</t>
  </si>
  <si>
    <t>43.9.1.1.</t>
  </si>
  <si>
    <t>Savivaldybės taryba (SB)</t>
  </si>
  <si>
    <t>43.9.1.2.</t>
  </si>
  <si>
    <t>43.9.1.2.1.</t>
  </si>
  <si>
    <t>43.9.1.2.1.1.</t>
  </si>
  <si>
    <t>43.9.1.2.1.2.</t>
  </si>
  <si>
    <t>43.9.1.2.1.3.</t>
  </si>
  <si>
    <t>43.9.1.2.1.4.</t>
  </si>
  <si>
    <t>43.9.1.2.1.5.</t>
  </si>
  <si>
    <t>43.9.1.2.1.6.</t>
  </si>
  <si>
    <t>43.9.1.2.1.7.</t>
  </si>
  <si>
    <t>43.9.1.2.1.8.</t>
  </si>
  <si>
    <t>43.9.1.2.1.9.</t>
  </si>
  <si>
    <t>43.9.1.2.1.10.</t>
  </si>
  <si>
    <t>43.9.1.2.1.11.</t>
  </si>
  <si>
    <t>43.9.1.2.2.</t>
  </si>
  <si>
    <t xml:space="preserve">  valstybinėms funkcijoms (VBD)</t>
  </si>
  <si>
    <t>43.9.1.2.2.1.</t>
  </si>
  <si>
    <t>43.9.1.2.2.2.</t>
  </si>
  <si>
    <t>43.9.1.2.2.3.</t>
  </si>
  <si>
    <t>43.9.1.2.2.4.</t>
  </si>
  <si>
    <t>43.9.1.2.2.5.</t>
  </si>
  <si>
    <t>43.9.1.2.2.6.</t>
  </si>
  <si>
    <t>43.9.1.2.2.7.</t>
  </si>
  <si>
    <t>43.9.1.2.2.8.</t>
  </si>
  <si>
    <t>43.9.1.2.3.</t>
  </si>
  <si>
    <t>43.9.1.2.3.1.</t>
  </si>
  <si>
    <t>43.9.1.2.3.2.</t>
  </si>
  <si>
    <t>43.9.1.2.3.3.</t>
  </si>
  <si>
    <t>43.9.1.2.3.4.</t>
  </si>
  <si>
    <t>43.9.2.</t>
  </si>
  <si>
    <t>02.</t>
  </si>
  <si>
    <t>43.9.2.1.</t>
  </si>
  <si>
    <t>43.9.2.2.</t>
  </si>
  <si>
    <t>43.9.3.</t>
  </si>
  <si>
    <t>43.9.4.</t>
  </si>
  <si>
    <t>43.9.4.1.</t>
  </si>
  <si>
    <t>43.9.4.2.</t>
  </si>
  <si>
    <t>43.9.4.2.1.</t>
  </si>
  <si>
    <t>43.9.4.2.2.</t>
  </si>
  <si>
    <t>43.9.4.2.3.</t>
  </si>
  <si>
    <t>43.9.4.2.4.</t>
  </si>
  <si>
    <t>43.9.4.2.5.</t>
  </si>
  <si>
    <t>43.9.4.2.6.</t>
  </si>
  <si>
    <t>43.9.4.2.7.</t>
  </si>
  <si>
    <t>43.9.5.</t>
  </si>
  <si>
    <t>43.9.6.</t>
  </si>
  <si>
    <t>43.9.7.</t>
  </si>
  <si>
    <t>43.9.8.</t>
  </si>
  <si>
    <t>43.9.9.</t>
  </si>
  <si>
    <t>43.9.10.</t>
  </si>
  <si>
    <t>43.9.10.1.</t>
  </si>
  <si>
    <t>43.9.10.2.</t>
  </si>
  <si>
    <t>43.9.11.</t>
  </si>
  <si>
    <t>43.9.11.1.</t>
  </si>
  <si>
    <t>43.9.11.1.1.</t>
  </si>
  <si>
    <t>43.9.11.1.2.</t>
  </si>
  <si>
    <t>43.9.11.1.3.</t>
  </si>
  <si>
    <t>43.9.11.1.4.</t>
  </si>
  <si>
    <t>43.9.11.1.5.</t>
  </si>
  <si>
    <t>43.9.11.1.6.</t>
  </si>
  <si>
    <t>43.9.11.1.7.</t>
  </si>
  <si>
    <t>43.9.11.1.8.</t>
  </si>
  <si>
    <t>43.9.11.1.9.</t>
  </si>
  <si>
    <t>43.9.11.1.10.</t>
  </si>
  <si>
    <t>43.9.11.1.11.</t>
  </si>
  <si>
    <t>43.9.11.2.</t>
  </si>
  <si>
    <t>43.9.11.3.</t>
  </si>
  <si>
    <t>Dotacija akredituotai vaikų dienos socialinei priežiūrai organizuoti, teikti ir administruoti (VBD)</t>
  </si>
  <si>
    <t>43.9.12.</t>
  </si>
  <si>
    <t>Savivaldybės administracijos direktoriaus rezervas (SB)</t>
  </si>
  <si>
    <t>44.</t>
  </si>
  <si>
    <t>IŠ VISO:</t>
  </si>
  <si>
    <t>44.1.</t>
  </si>
  <si>
    <t>44.2.</t>
  </si>
  <si>
    <t>44.3.</t>
  </si>
  <si>
    <t>44.4.</t>
  </si>
  <si>
    <t>valstybės dotacija iš apskrities perduotoms įstaigoms (VBD)</t>
  </si>
  <si>
    <t>44.5.</t>
  </si>
  <si>
    <t>44.6.</t>
  </si>
  <si>
    <t>dotacija neformaliojo vaikų švietimo programai įgyvendinti (VBD)</t>
  </si>
  <si>
    <t>44.7.</t>
  </si>
  <si>
    <t>44.8.</t>
  </si>
  <si>
    <t>Valstybės biudžeto dotacija pagal 2014-2020 metų ES fondų investicijų veiksmų programas įgyvendinamų projektų nuosavam indėliui užtikrinti (VBD)</t>
  </si>
  <si>
    <t>44.9.</t>
  </si>
  <si>
    <t>44.10.</t>
  </si>
  <si>
    <t>44.11.</t>
  </si>
  <si>
    <t>44.12.</t>
  </si>
  <si>
    <t>Dotacija savivaldybėms iš Europos Sąjungos, kitos tarptautinės finansinės paramos ir bendrojo finansavimo lėšos (ES, VBES,EEE,EEEVB)</t>
  </si>
  <si>
    <t>44.13.</t>
  </si>
  <si>
    <t>44.14.</t>
  </si>
  <si>
    <t>44.15.</t>
  </si>
  <si>
    <t>44.18.</t>
  </si>
  <si>
    <t>45.</t>
  </si>
  <si>
    <t>45.1.</t>
  </si>
  <si>
    <t>45.2.</t>
  </si>
  <si>
    <t>45.3.</t>
  </si>
  <si>
    <t>45.4.</t>
  </si>
  <si>
    <t>45.5.</t>
  </si>
  <si>
    <t>45.6.</t>
  </si>
  <si>
    <t>45.7.</t>
  </si>
  <si>
    <t>46.</t>
  </si>
  <si>
    <t>46.1.</t>
  </si>
  <si>
    <t>46.1.1.</t>
  </si>
  <si>
    <t>46.1.2.</t>
  </si>
  <si>
    <t>46.1.3.</t>
  </si>
  <si>
    <t>46.1.4.</t>
  </si>
  <si>
    <t>46.1.5.</t>
  </si>
  <si>
    <t>47.</t>
  </si>
  <si>
    <t>47.1.</t>
  </si>
  <si>
    <t>47.1.1.</t>
  </si>
  <si>
    <t xml:space="preserve"> savivaldybės lėšos (SB)</t>
  </si>
  <si>
    <t>47.1.2.</t>
  </si>
  <si>
    <t>47.1.3.</t>
  </si>
  <si>
    <t>47.1.4.</t>
  </si>
  <si>
    <t>47.1.5.</t>
  </si>
  <si>
    <t>47.1.6.</t>
  </si>
  <si>
    <t>47.1.7.</t>
  </si>
  <si>
    <t>48.</t>
  </si>
  <si>
    <t>48.1.</t>
  </si>
  <si>
    <t>48.2.</t>
  </si>
  <si>
    <t>48.3.</t>
  </si>
  <si>
    <t>48.4.</t>
  </si>
  <si>
    <t>48.5.</t>
  </si>
  <si>
    <t>Dotacija savivaldybėms iš Europos Sąjungos, kitos tarptautinės finansinės paramos ir bendrojo finansavimo lėšos (ES, VBES,EEE, EEEVB)</t>
  </si>
  <si>
    <t>48.6.</t>
  </si>
  <si>
    <t>49.</t>
  </si>
  <si>
    <t>49.1.</t>
  </si>
  <si>
    <t>49.1.1.</t>
  </si>
  <si>
    <t>49.1.2.</t>
  </si>
  <si>
    <t>49.1.3.</t>
  </si>
  <si>
    <t>49.1.4.</t>
  </si>
  <si>
    <t>49.1.5.</t>
  </si>
  <si>
    <t>49.1.6.</t>
  </si>
  <si>
    <t>49.1.7.</t>
  </si>
  <si>
    <t>49.1.8.</t>
  </si>
  <si>
    <t>49.1.9.</t>
  </si>
  <si>
    <t>49.1.10.</t>
  </si>
  <si>
    <t>50.</t>
  </si>
  <si>
    <t>50.1.</t>
  </si>
  <si>
    <t>50.2.</t>
  </si>
  <si>
    <t>50.3.</t>
  </si>
  <si>
    <t>50.4.</t>
  </si>
  <si>
    <t>50.5.</t>
  </si>
  <si>
    <t>Dotacija savivaldybėms iš Europos Sąjungos, kitos tarptautinės finansinės paramos ir bendrojo finansavimo lėšos (ES,VBES)</t>
  </si>
  <si>
    <t>50.6</t>
  </si>
  <si>
    <t>50.7.</t>
  </si>
  <si>
    <t>51.</t>
  </si>
  <si>
    <t>51.1.</t>
  </si>
  <si>
    <t>51.2.</t>
  </si>
  <si>
    <t>51.3.</t>
  </si>
  <si>
    <t>51.5.</t>
  </si>
  <si>
    <t>51.6.</t>
  </si>
  <si>
    <t>52.</t>
  </si>
  <si>
    <t>52.1.</t>
  </si>
  <si>
    <t>52.2.</t>
  </si>
  <si>
    <t>52.3.</t>
  </si>
  <si>
    <t>52.4.</t>
  </si>
  <si>
    <t>53.</t>
  </si>
  <si>
    <t>53.1.</t>
  </si>
  <si>
    <t>53.1.1.</t>
  </si>
  <si>
    <t>53.1.2.</t>
  </si>
  <si>
    <t>53.1.2.1.</t>
  </si>
  <si>
    <t>53.1.2.2.</t>
  </si>
  <si>
    <t>53.1.2.3.</t>
  </si>
  <si>
    <t>53.1.3.</t>
  </si>
  <si>
    <t>53.1.6.</t>
  </si>
  <si>
    <t>53.2.</t>
  </si>
  <si>
    <t>53.2.1.</t>
  </si>
  <si>
    <t>53.2.2.</t>
  </si>
  <si>
    <t>53.3.</t>
  </si>
  <si>
    <t>53.3.1.</t>
  </si>
  <si>
    <t>53.3.2.</t>
  </si>
  <si>
    <t>53.3.3.</t>
  </si>
  <si>
    <t>53.4.</t>
  </si>
  <si>
    <t>53.4.1.</t>
  </si>
  <si>
    <t>53.4.2.</t>
  </si>
  <si>
    <t>53.4.3.</t>
  </si>
  <si>
    <t>53.5.</t>
  </si>
  <si>
    <t>53.6.</t>
  </si>
  <si>
    <t>53.7.</t>
  </si>
  <si>
    <t>53.8.</t>
  </si>
  <si>
    <t>53.9.</t>
  </si>
  <si>
    <t>53.9.1.</t>
  </si>
  <si>
    <t>53.9.2.</t>
  </si>
  <si>
    <t>53.10.</t>
  </si>
  <si>
    <t>53.10.1.</t>
  </si>
  <si>
    <t>53.10.2.</t>
  </si>
  <si>
    <t>53.10.3.</t>
  </si>
  <si>
    <t>53.12.</t>
  </si>
  <si>
    <t xml:space="preserve">                                                       ________________</t>
  </si>
  <si>
    <t xml:space="preserve">tarybos 2022-01-27 sprendimo </t>
  </si>
  <si>
    <t>Nr.T11-</t>
  </si>
  <si>
    <t>6 priedas</t>
  </si>
  <si>
    <t>2022 M. ASIGNAVIMAI IŠ SAVIVALDYBĖS BIUDŽETO LĖŠŲ LIKUČIŲ IR SKOLINTŲ LĖŠŲ</t>
  </si>
  <si>
    <t>skolintos lėšos (SL)</t>
  </si>
  <si>
    <t>pajamų už parduotą žemę 2021 m. likutis (LŽ)</t>
  </si>
  <si>
    <t>1.2.4.</t>
  </si>
  <si>
    <t>Iš jos: Aplinkos apsaugos rėmimo specialiosios programos 2021 m. lėšų likutis (LA)</t>
  </si>
  <si>
    <t>5. Socialinės paramos programa</t>
  </si>
  <si>
    <t>1.4.1.</t>
  </si>
  <si>
    <t>Iš jos: pajamų už paslaugas ir nuomą 2021 m. likutis (LS)</t>
  </si>
  <si>
    <t>1.5.1.</t>
  </si>
  <si>
    <t>Savivaldybės biudžeto 2021 m. viršplaninės pajamos (VLK)</t>
  </si>
  <si>
    <t>1.5.1.1.</t>
  </si>
  <si>
    <t>1.5.1.2.</t>
  </si>
  <si>
    <t>1.5.1.3.</t>
  </si>
  <si>
    <t>1.5.1.4.</t>
  </si>
  <si>
    <t>1.5.1.5.</t>
  </si>
  <si>
    <t>1.5.1.6.</t>
  </si>
  <si>
    <t>1.5.1.7.</t>
  </si>
  <si>
    <t>1.5.1.8.</t>
  </si>
  <si>
    <t>1.5.1.9.</t>
  </si>
  <si>
    <t>1.5.1.10.</t>
  </si>
  <si>
    <t>1.5.1.11.</t>
  </si>
  <si>
    <t>1.5.2.</t>
  </si>
  <si>
    <t>1.6.1.</t>
  </si>
  <si>
    <t>Iš jos: skolintos lėšos (SL)</t>
  </si>
  <si>
    <t>1.7.</t>
  </si>
  <si>
    <t>1.7.2.</t>
  </si>
  <si>
    <t>pajamų už paslaugas ir nuomą 2021 m. likutis (LS)</t>
  </si>
  <si>
    <t>1.7.3.</t>
  </si>
  <si>
    <t>2.5.</t>
  </si>
  <si>
    <t>2.6.</t>
  </si>
  <si>
    <t>2.7.</t>
  </si>
  <si>
    <t xml:space="preserve">                                                                  _______________________</t>
  </si>
  <si>
    <t>dotaija neformaliojo vaikų švietimo programai įgyvendinti (VBD)</t>
  </si>
  <si>
    <t>Aplikosauginėms priemonėms pagal dotacijų sutartis (VBD)</t>
  </si>
  <si>
    <t>43.3.8.</t>
  </si>
  <si>
    <t>Dotacija piniginės socialinės paramos nepasiturintiems gyventojams įstatymui įgyvendinti dėl padidėjusių išlaidų būsto šildymo išlaidų kompensacijoms teikti (VBD)</t>
  </si>
  <si>
    <t>Piniginės socialinės paramos nepasiturintiems gyventojams įstatymui įgyvendinti dėl padidėjusių išlaidų būsto šildymo išlaidų kompensacijoms teikti (VBD)</t>
  </si>
  <si>
    <t>43.7.1.2.</t>
  </si>
  <si>
    <t>Dotacija savivaldybių viešosioms bibliotekoms dokumentams 2022 metais įsigyti (VBD)</t>
  </si>
  <si>
    <t>Savivaldybių viešosioms bibliotekoms dokumentams 2022 metais įsigyti (VBD)</t>
  </si>
  <si>
    <t>51.4.</t>
  </si>
  <si>
    <t>44.16.</t>
  </si>
  <si>
    <t>44.17.</t>
  </si>
  <si>
    <t>Dotacija savivaldybėms iš Europos Sąjungos, kitos tarptautinės finansinės paramos ir bendrojo finansavimo lėšos (ES, VBES, EEE, EEEVB)</t>
  </si>
  <si>
    <t>41.1.2.</t>
  </si>
  <si>
    <t>41.1.3.</t>
  </si>
  <si>
    <t>43.2.1.2.</t>
  </si>
  <si>
    <t>43.2.1.3.</t>
  </si>
  <si>
    <t>2.3.11.</t>
  </si>
  <si>
    <t>Dotacija patirtoms išlaidoms, siekiant šalinti COVID-19 ligos padarinius ir valdyti jos plitimą esant valstybės lygio ekstremaliajai situacijai, kompensuoti (VBD)COVID))</t>
  </si>
  <si>
    <t>43.4.4.</t>
  </si>
  <si>
    <t>48.7.</t>
  </si>
  <si>
    <t>Kontrolės ir audito tarnyba (SB)</t>
  </si>
  <si>
    <t>Projekto "Klaipėdos rajono biudžetinių įstaigų apskaitos optimizavimas" įgyvendinimas</t>
  </si>
  <si>
    <t>53.1.6.1.</t>
  </si>
  <si>
    <t>53.1.6.2.</t>
  </si>
  <si>
    <t>44.19.</t>
  </si>
  <si>
    <t>44.20.</t>
  </si>
  <si>
    <t>44.21.</t>
  </si>
  <si>
    <t>43.1.5.</t>
  </si>
  <si>
    <t>1.5.3.</t>
  </si>
  <si>
    <t>1.5.4.</t>
  </si>
  <si>
    <t>1.5.5.</t>
  </si>
  <si>
    <t>43.9.13.</t>
  </si>
  <si>
    <t>Paskolų palūkanų grąžinimas (SB)</t>
  </si>
  <si>
    <t>53.11.</t>
  </si>
  <si>
    <t>2.3.12.</t>
  </si>
  <si>
    <t>Pedagoginių darbuotojų, išlaikomų iš savivaldybių biudžetų lėšų, darbo užmokesčiui didinti</t>
  </si>
  <si>
    <t>21.3.4.</t>
  </si>
  <si>
    <t>22.1.5.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</si>
</sst>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0"/>
    <numFmt numFmtId="166" formatCode="0.000"/>
    <numFmt numFmtId="167" formatCode="0.0"/>
  </numFmts>
  <fonts count="3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sz val="9"/>
      <name val="Arial"/>
      <family val="2"/>
    </font>
    <font>
      <b/>
      <sz val="10"/>
      <name val="Arial"/>
      <family val="2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11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10"/>
      <name val="Times New Roman Baltic"/>
      <charset val="186"/>
    </font>
    <font>
      <sz val="7"/>
      <name val="Times New Roman Baltic"/>
      <family val="1"/>
      <charset val="186"/>
    </font>
    <font>
      <sz val="7"/>
      <name val="Arial"/>
      <family val="2"/>
      <charset val="186"/>
    </font>
    <font>
      <sz val="7"/>
      <name val="Times New Roman Baltic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sz val="9"/>
      <name val="Arial"/>
      <family val="2"/>
    </font>
    <font>
      <b/>
      <sz val="9"/>
      <name val="Arial"/>
      <family val="2"/>
      <charset val="186"/>
    </font>
    <font>
      <i/>
      <sz val="9"/>
      <name val="Arial"/>
      <family val="2"/>
    </font>
    <font>
      <i/>
      <sz val="9"/>
      <name val="Arial"/>
      <family val="2"/>
      <charset val="186"/>
    </font>
    <font>
      <i/>
      <sz val="10"/>
      <name val="Arial"/>
      <family val="2"/>
      <charset val="186"/>
    </font>
    <font>
      <sz val="9"/>
      <color rgb="FF444444"/>
      <name val="Calibri"/>
      <family val="2"/>
      <charset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b/>
      <sz val="9"/>
      <name val="Arial"/>
      <family val="2"/>
      <charset val="204"/>
    </font>
    <font>
      <sz val="9"/>
      <color theme="1"/>
      <name val="Times New Roman"/>
      <family val="1"/>
      <charset val="186"/>
    </font>
    <font>
      <i/>
      <sz val="9"/>
      <color rgb="FF444444"/>
      <name val="Calibri"/>
      <family val="2"/>
      <charset val="1"/>
    </font>
    <font>
      <sz val="9"/>
      <color rgb="FF444444"/>
      <name val="Times New Roman"/>
      <family val="1"/>
      <charset val="186"/>
    </font>
    <font>
      <sz val="10"/>
      <name val="Arial"/>
      <family val="2"/>
      <charset val="186"/>
    </font>
    <font>
      <sz val="10"/>
      <color rgb="FF444444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93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4" fillId="0" borderId="1" xfId="0" applyFont="1" applyBorder="1"/>
    <xf numFmtId="164" fontId="4" fillId="0" borderId="1" xfId="0" applyNumberFormat="1" applyFont="1" applyBorder="1"/>
    <xf numFmtId="164" fontId="3" fillId="0" borderId="1" xfId="0" applyNumberFormat="1" applyFont="1" applyBorder="1"/>
    <xf numFmtId="166" fontId="0" fillId="0" borderId="0" xfId="0" applyNumberFormat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167" fontId="3" fillId="0" borderId="1" xfId="0" applyNumberFormat="1" applyFont="1" applyBorder="1"/>
    <xf numFmtId="0" fontId="3" fillId="2" borderId="4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justify" vertical="top" wrapText="1"/>
    </xf>
    <xf numFmtId="0" fontId="2" fillId="0" borderId="0" xfId="0" applyFont="1"/>
    <xf numFmtId="164" fontId="1" fillId="0" borderId="0" xfId="0" applyNumberFormat="1" applyFont="1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6" fillId="2" borderId="0" xfId="0" applyFont="1" applyFill="1"/>
    <xf numFmtId="0" fontId="0" fillId="2" borderId="1" xfId="0" applyFill="1" applyBorder="1" applyAlignment="1">
      <alignment vertical="center" wrapText="1" shrinkToFit="1"/>
    </xf>
    <xf numFmtId="0" fontId="0" fillId="2" borderId="1" xfId="0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8" fillId="2" borderId="1" xfId="0" applyFont="1" applyFill="1" applyBorder="1"/>
    <xf numFmtId="164" fontId="6" fillId="0" borderId="1" xfId="0" applyNumberFormat="1" applyFont="1" applyBorder="1"/>
    <xf numFmtId="0" fontId="6" fillId="0" borderId="1" xfId="0" applyFont="1" applyBorder="1"/>
    <xf numFmtId="167" fontId="6" fillId="0" borderId="1" xfId="0" applyNumberFormat="1" applyFont="1" applyBorder="1"/>
    <xf numFmtId="0" fontId="0" fillId="0" borderId="1" xfId="0" applyBorder="1"/>
    <xf numFmtId="0" fontId="1" fillId="2" borderId="1" xfId="0" applyFont="1" applyFill="1" applyBorder="1"/>
    <xf numFmtId="164" fontId="0" fillId="0" borderId="0" xfId="0" applyNumberFormat="1"/>
    <xf numFmtId="0" fontId="6" fillId="2" borderId="1" xfId="0" applyFont="1" applyFill="1" applyBorder="1"/>
    <xf numFmtId="3" fontId="6" fillId="0" borderId="1" xfId="0" applyNumberFormat="1" applyFont="1" applyBorder="1"/>
    <xf numFmtId="0" fontId="1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wrapText="1"/>
    </xf>
    <xf numFmtId="4" fontId="6" fillId="0" borderId="1" xfId="0" applyNumberFormat="1" applyFont="1" applyBorder="1"/>
    <xf numFmtId="0" fontId="9" fillId="2" borderId="1" xfId="0" applyFont="1" applyFill="1" applyBorder="1"/>
    <xf numFmtId="167" fontId="0" fillId="0" borderId="0" xfId="0" applyNumberFormat="1"/>
    <xf numFmtId="0" fontId="0" fillId="0" borderId="5" xfId="0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167" fontId="15" fillId="0" borderId="6" xfId="0" applyNumberFormat="1" applyFont="1" applyBorder="1" applyAlignment="1">
      <alignment horizontal="right" wrapText="1"/>
    </xf>
    <xf numFmtId="0" fontId="15" fillId="0" borderId="6" xfId="0" applyFont="1" applyBorder="1" applyAlignment="1">
      <alignment horizontal="right" wrapText="1"/>
    </xf>
    <xf numFmtId="166" fontId="15" fillId="0" borderId="6" xfId="0" applyNumberFormat="1" applyFont="1" applyBorder="1" applyAlignment="1">
      <alignment horizontal="right" wrapText="1"/>
    </xf>
    <xf numFmtId="0" fontId="17" fillId="0" borderId="6" xfId="0" applyFont="1" applyBorder="1" applyAlignment="1">
      <alignment horizontal="right" wrapText="1"/>
    </xf>
    <xf numFmtId="167" fontId="15" fillId="0" borderId="1" xfId="0" applyNumberFormat="1" applyFont="1" applyBorder="1" applyAlignment="1">
      <alignment horizontal="right" wrapText="1"/>
    </xf>
    <xf numFmtId="0" fontId="15" fillId="0" borderId="1" xfId="0" applyFont="1" applyBorder="1" applyAlignment="1">
      <alignment horizontal="right" wrapText="1"/>
    </xf>
    <xf numFmtId="166" fontId="15" fillId="0" borderId="1" xfId="0" applyNumberFormat="1" applyFont="1" applyBorder="1" applyAlignment="1">
      <alignment horizontal="right" wrapText="1"/>
    </xf>
    <xf numFmtId="0" fontId="16" fillId="2" borderId="6" xfId="0" applyFont="1" applyFill="1" applyBorder="1" applyAlignment="1">
      <alignment vertical="center" wrapText="1"/>
    </xf>
    <xf numFmtId="164" fontId="15" fillId="2" borderId="1" xfId="0" applyNumberFormat="1" applyFont="1" applyFill="1" applyBorder="1"/>
    <xf numFmtId="164" fontId="15" fillId="0" borderId="1" xfId="0" applyNumberFormat="1" applyFont="1" applyBorder="1"/>
    <xf numFmtId="165" fontId="15" fillId="0" borderId="1" xfId="0" applyNumberFormat="1" applyFont="1" applyBorder="1"/>
    <xf numFmtId="164" fontId="17" fillId="0" borderId="1" xfId="0" applyNumberFormat="1" applyFont="1" applyBorder="1"/>
    <xf numFmtId="167" fontId="15" fillId="0" borderId="1" xfId="0" applyNumberFormat="1" applyFont="1" applyBorder="1"/>
    <xf numFmtId="0" fontId="16" fillId="0" borderId="6" xfId="0" applyFont="1" applyBorder="1" applyAlignment="1">
      <alignment vertical="top" wrapText="1"/>
    </xf>
    <xf numFmtId="164" fontId="15" fillId="0" borderId="3" xfId="0" applyNumberFormat="1" applyFont="1" applyBorder="1"/>
    <xf numFmtId="3" fontId="15" fillId="0" borderId="3" xfId="0" applyNumberFormat="1" applyFont="1" applyBorder="1"/>
    <xf numFmtId="3" fontId="17" fillId="0" borderId="3" xfId="0" applyNumberFormat="1" applyFont="1" applyBorder="1"/>
    <xf numFmtId="167" fontId="15" fillId="0" borderId="3" xfId="0" applyNumberFormat="1" applyFont="1" applyBorder="1"/>
    <xf numFmtId="0" fontId="17" fillId="0" borderId="1" xfId="0" applyFont="1" applyBorder="1" applyAlignment="1">
      <alignment vertical="center"/>
    </xf>
    <xf numFmtId="4" fontId="15" fillId="0" borderId="1" xfId="0" applyNumberFormat="1" applyFont="1" applyBorder="1"/>
    <xf numFmtId="165" fontId="15" fillId="0" borderId="1" xfId="0" applyNumberFormat="1" applyFont="1" applyBorder="1" applyAlignment="1">
      <alignment horizontal="right" wrapText="1"/>
    </xf>
    <xf numFmtId="166" fontId="10" fillId="0" borderId="0" xfId="0" applyNumberFormat="1" applyFont="1"/>
    <xf numFmtId="0" fontId="10" fillId="0" borderId="7" xfId="0" applyFont="1" applyBorder="1"/>
    <xf numFmtId="0" fontId="0" fillId="0" borderId="0" xfId="0" applyAlignment="1">
      <alignment horizontal="right"/>
    </xf>
    <xf numFmtId="0" fontId="19" fillId="0" borderId="0" xfId="0" applyFont="1"/>
    <xf numFmtId="0" fontId="18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6" xfId="0" applyBorder="1"/>
    <xf numFmtId="0" fontId="2" fillId="0" borderId="8" xfId="0" applyFont="1" applyBorder="1"/>
    <xf numFmtId="167" fontId="2" fillId="0" borderId="8" xfId="0" applyNumberFormat="1" applyFont="1" applyBorder="1"/>
    <xf numFmtId="0" fontId="1" fillId="0" borderId="8" xfId="0" applyFont="1" applyBorder="1" applyAlignment="1">
      <alignment horizontal="left"/>
    </xf>
    <xf numFmtId="167" fontId="0" fillId="0" borderId="8" xfId="0" applyNumberFormat="1" applyBorder="1"/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2" fillId="0" borderId="3" xfId="0" applyFont="1" applyBorder="1" applyAlignment="1">
      <alignment horizontal="left"/>
    </xf>
    <xf numFmtId="167" fontId="2" fillId="0" borderId="3" xfId="0" applyNumberFormat="1" applyFont="1" applyBorder="1"/>
    <xf numFmtId="0" fontId="21" fillId="0" borderId="0" xfId="0" applyFont="1"/>
    <xf numFmtId="166" fontId="6" fillId="0" borderId="0" xfId="0" applyNumberFormat="1" applyFont="1"/>
    <xf numFmtId="0" fontId="6" fillId="0" borderId="0" xfId="0" applyFont="1"/>
    <xf numFmtId="0" fontId="8" fillId="0" borderId="0" xfId="0" applyFont="1" applyAlignment="1">
      <alignment horizontal="center"/>
    </xf>
    <xf numFmtId="167" fontId="6" fillId="0" borderId="0" xfId="0" applyNumberFormat="1" applyFont="1"/>
    <xf numFmtId="164" fontId="21" fillId="0" borderId="0" xfId="0" applyNumberFormat="1" applyFont="1"/>
    <xf numFmtId="164" fontId="23" fillId="0" borderId="0" xfId="0" applyNumberFormat="1" applyFont="1"/>
    <xf numFmtId="164" fontId="6" fillId="0" borderId="0" xfId="0" applyNumberFormat="1" applyFont="1"/>
    <xf numFmtId="3" fontId="6" fillId="0" borderId="0" xfId="0" applyNumberFormat="1" applyFont="1"/>
    <xf numFmtId="164" fontId="22" fillId="0" borderId="0" xfId="0" applyNumberFormat="1" applyFont="1"/>
    <xf numFmtId="164" fontId="8" fillId="0" borderId="0" xfId="0" applyNumberFormat="1" applyFont="1"/>
    <xf numFmtId="165" fontId="21" fillId="0" borderId="0" xfId="0" applyNumberFormat="1" applyFont="1"/>
    <xf numFmtId="165" fontId="6" fillId="0" borderId="0" xfId="0" applyNumberFormat="1" applyFont="1"/>
    <xf numFmtId="0" fontId="8" fillId="0" borderId="0" xfId="0" applyFont="1" applyAlignment="1">
      <alignment horizontal="center" vertical="top"/>
    </xf>
    <xf numFmtId="165" fontId="23" fillId="0" borderId="0" xfId="0" applyNumberFormat="1" applyFont="1"/>
    <xf numFmtId="165" fontId="22" fillId="0" borderId="0" xfId="0" applyNumberFormat="1" applyFont="1"/>
    <xf numFmtId="165" fontId="8" fillId="0" borderId="0" xfId="0" applyNumberFormat="1" applyFont="1"/>
    <xf numFmtId="4" fontId="22" fillId="0" borderId="0" xfId="0" applyNumberFormat="1" applyFont="1"/>
    <xf numFmtId="4" fontId="8" fillId="0" borderId="0" xfId="0" applyNumberFormat="1" applyFont="1"/>
    <xf numFmtId="0" fontId="0" fillId="0" borderId="9" xfId="0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24" fillId="0" borderId="10" xfId="0" applyFont="1" applyBorder="1"/>
    <xf numFmtId="0" fontId="1" fillId="0" borderId="0" xfId="0" applyFont="1" applyAlignment="1">
      <alignment horizontal="right" wrapText="1"/>
    </xf>
    <xf numFmtId="0" fontId="24" fillId="0" borderId="0" xfId="0" applyFont="1"/>
    <xf numFmtId="0" fontId="1" fillId="0" borderId="0" xfId="0" applyFont="1" applyAlignment="1">
      <alignment horizontal="center" vertical="center" wrapText="1"/>
    </xf>
    <xf numFmtId="0" fontId="24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/>
    <xf numFmtId="0" fontId="1" fillId="0" borderId="0" xfId="0" applyFont="1" applyAlignment="1">
      <alignment vertical="center"/>
    </xf>
    <xf numFmtId="0" fontId="26" fillId="2" borderId="11" xfId="0" applyFont="1" applyFill="1" applyBorder="1"/>
    <xf numFmtId="0" fontId="26" fillId="2" borderId="6" xfId="0" applyFont="1" applyFill="1" applyBorder="1"/>
    <xf numFmtId="0" fontId="27" fillId="2" borderId="12" xfId="0" applyFont="1" applyFill="1" applyBorder="1" applyAlignment="1">
      <alignment horizontal="center"/>
    </xf>
    <xf numFmtId="0" fontId="27" fillId="2" borderId="13" xfId="0" applyFont="1" applyFill="1" applyBorder="1"/>
    <xf numFmtId="0" fontId="27" fillId="2" borderId="8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28" fillId="2" borderId="8" xfId="0" applyFont="1" applyFill="1" applyBorder="1"/>
    <xf numFmtId="0" fontId="28" fillId="2" borderId="0" xfId="0" applyFont="1" applyFill="1" applyAlignment="1">
      <alignment horizontal="center"/>
    </xf>
    <xf numFmtId="0" fontId="27" fillId="2" borderId="8" xfId="0" applyFont="1" applyFill="1" applyBorder="1" applyAlignment="1">
      <alignment horizontal="right"/>
    </xf>
    <xf numFmtId="0" fontId="27" fillId="2" borderId="13" xfId="0" applyFont="1" applyFill="1" applyBorder="1" applyAlignment="1">
      <alignment vertical="center"/>
    </xf>
    <xf numFmtId="0" fontId="27" fillId="2" borderId="8" xfId="0" applyFont="1" applyFill="1" applyBorder="1" applyAlignment="1">
      <alignment horizontal="right" wrapText="1"/>
    </xf>
    <xf numFmtId="0" fontId="27" fillId="2" borderId="8" xfId="0" applyFont="1" applyFill="1" applyBorder="1"/>
    <xf numFmtId="0" fontId="27" fillId="2" borderId="3" xfId="0" applyFont="1" applyFill="1" applyBorder="1" applyAlignment="1">
      <alignment vertical="center"/>
    </xf>
    <xf numFmtId="0" fontId="27" fillId="0" borderId="5" xfId="0" applyFont="1" applyBorder="1" applyAlignment="1">
      <alignment horizontal="right" wrapText="1"/>
    </xf>
    <xf numFmtId="0" fontId="27" fillId="2" borderId="3" xfId="0" applyFont="1" applyFill="1" applyBorder="1" applyAlignment="1">
      <alignment horizontal="center"/>
    </xf>
    <xf numFmtId="0" fontId="26" fillId="2" borderId="8" xfId="0" applyFont="1" applyFill="1" applyBorder="1"/>
    <xf numFmtId="0" fontId="27" fillId="2" borderId="8" xfId="0" applyFont="1" applyFill="1" applyBorder="1" applyAlignment="1">
      <alignment vertical="center"/>
    </xf>
    <xf numFmtId="0" fontId="27" fillId="0" borderId="8" xfId="0" applyFont="1" applyBorder="1" applyAlignment="1">
      <alignment horizontal="right" vertical="center" wrapText="1"/>
    </xf>
    <xf numFmtId="0" fontId="26" fillId="2" borderId="12" xfId="0" applyFont="1" applyFill="1" applyBorder="1"/>
    <xf numFmtId="0" fontId="28" fillId="2" borderId="8" xfId="0" applyFont="1" applyFill="1" applyBorder="1" applyAlignment="1">
      <alignment horizontal="center"/>
    </xf>
    <xf numFmtId="0" fontId="27" fillId="0" borderId="13" xfId="0" applyFont="1" applyBorder="1"/>
    <xf numFmtId="0" fontId="27" fillId="0" borderId="13" xfId="0" applyFont="1" applyBorder="1" applyAlignment="1">
      <alignment horizontal="right" wrapText="1"/>
    </xf>
    <xf numFmtId="0" fontId="27" fillId="0" borderId="8" xfId="0" applyFont="1" applyBorder="1" applyAlignment="1">
      <alignment horizontal="center"/>
    </xf>
    <xf numFmtId="0" fontId="26" fillId="0" borderId="11" xfId="0" applyFont="1" applyBorder="1"/>
    <xf numFmtId="0" fontId="26" fillId="0" borderId="6" xfId="0" applyFont="1" applyBorder="1"/>
    <xf numFmtId="0" fontId="26" fillId="0" borderId="12" xfId="0" applyFont="1" applyBorder="1"/>
    <xf numFmtId="0" fontId="27" fillId="0" borderId="0" xfId="0" applyFont="1" applyAlignment="1">
      <alignment horizontal="center"/>
    </xf>
    <xf numFmtId="0" fontId="28" fillId="0" borderId="8" xfId="0" applyFont="1" applyBorder="1"/>
    <xf numFmtId="0" fontId="28" fillId="0" borderId="0" xfId="0" applyFont="1" applyAlignment="1">
      <alignment horizontal="center"/>
    </xf>
    <xf numFmtId="0" fontId="27" fillId="0" borderId="8" xfId="0" applyFont="1" applyBorder="1" applyAlignment="1">
      <alignment horizontal="right"/>
    </xf>
    <xf numFmtId="0" fontId="27" fillId="0" borderId="13" xfId="0" applyFont="1" applyBorder="1" applyAlignment="1">
      <alignment vertical="center"/>
    </xf>
    <xf numFmtId="0" fontId="27" fillId="0" borderId="8" xfId="0" applyFont="1" applyBorder="1" applyAlignment="1">
      <alignment horizontal="right" wrapText="1"/>
    </xf>
    <xf numFmtId="0" fontId="27" fillId="0" borderId="8" xfId="0" applyFont="1" applyBorder="1" applyAlignment="1">
      <alignment vertical="center"/>
    </xf>
    <xf numFmtId="0" fontId="27" fillId="0" borderId="3" xfId="0" applyFont="1" applyBorder="1" applyAlignment="1">
      <alignment horizontal="right" wrapText="1"/>
    </xf>
    <xf numFmtId="0" fontId="26" fillId="0" borderId="8" xfId="0" applyFont="1" applyBorder="1"/>
    <xf numFmtId="0" fontId="28" fillId="0" borderId="8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7" fillId="0" borderId="10" xfId="0" applyFont="1" applyBorder="1"/>
    <xf numFmtId="0" fontId="27" fillId="0" borderId="10" xfId="0" applyFont="1" applyBorder="1" applyAlignment="1">
      <alignment horizontal="right" wrapText="1"/>
    </xf>
    <xf numFmtId="0" fontId="26" fillId="0" borderId="13" xfId="0" applyFont="1" applyBorder="1"/>
    <xf numFmtId="0" fontId="27" fillId="0" borderId="13" xfId="0" applyFont="1" applyBorder="1" applyAlignment="1">
      <alignment horizontal="center"/>
    </xf>
    <xf numFmtId="0" fontId="27" fillId="0" borderId="13" xfId="0" applyFont="1" applyBorder="1" applyAlignment="1">
      <alignment horizontal="left" vertical="center"/>
    </xf>
    <xf numFmtId="0" fontId="26" fillId="0" borderId="11" xfId="0" applyFont="1" applyBorder="1" applyAlignment="1">
      <alignment horizontal="left"/>
    </xf>
    <xf numFmtId="0" fontId="26" fillId="0" borderId="6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/>
    </xf>
    <xf numFmtId="0" fontId="28" fillId="0" borderId="8" xfId="0" applyFont="1" applyBorder="1" applyAlignment="1">
      <alignment wrapText="1"/>
    </xf>
    <xf numFmtId="0" fontId="26" fillId="0" borderId="6" xfId="0" applyFont="1" applyBorder="1" applyAlignment="1">
      <alignment horizontal="left"/>
    </xf>
    <xf numFmtId="0" fontId="27" fillId="0" borderId="8" xfId="0" applyFont="1" applyBorder="1"/>
    <xf numFmtId="0" fontId="27" fillId="0" borderId="3" xfId="0" applyFont="1" applyBorder="1" applyAlignment="1">
      <alignment horizontal="right" vertical="center" wrapText="1"/>
    </xf>
    <xf numFmtId="0" fontId="27" fillId="0" borderId="3" xfId="0" applyFont="1" applyBorder="1"/>
    <xf numFmtId="0" fontId="26" fillId="0" borderId="11" xfId="0" applyFont="1" applyBorder="1" applyAlignment="1">
      <alignment vertical="top" wrapText="1"/>
    </xf>
    <xf numFmtId="0" fontId="26" fillId="0" borderId="6" xfId="0" applyFont="1" applyBorder="1" applyAlignment="1">
      <alignment horizontal="left" vertical="top" wrapText="1"/>
    </xf>
    <xf numFmtId="0" fontId="27" fillId="0" borderId="6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right"/>
    </xf>
    <xf numFmtId="0" fontId="27" fillId="0" borderId="5" xfId="0" applyFont="1" applyBorder="1"/>
    <xf numFmtId="0" fontId="28" fillId="0" borderId="8" xfId="0" applyFont="1" applyBorder="1" applyAlignment="1">
      <alignment horizontal="left"/>
    </xf>
    <xf numFmtId="0" fontId="27" fillId="0" borderId="8" xfId="0" applyFont="1" applyBorder="1" applyAlignment="1">
      <alignment horizontal="right" vertical="top" wrapText="1"/>
    </xf>
    <xf numFmtId="0" fontId="28" fillId="0" borderId="8" xfId="0" applyFont="1" applyBorder="1" applyAlignment="1">
      <alignment horizontal="left" vertical="distributed" wrapText="1"/>
    </xf>
    <xf numFmtId="0" fontId="27" fillId="0" borderId="3" xfId="0" applyFont="1" applyBorder="1" applyAlignment="1">
      <alignment vertical="center"/>
    </xf>
    <xf numFmtId="0" fontId="28" fillId="0" borderId="13" xfId="0" applyFont="1" applyBorder="1"/>
    <xf numFmtId="0" fontId="27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27" fillId="0" borderId="6" xfId="0" applyFont="1" applyBorder="1" applyAlignment="1">
      <alignment horizontal="center"/>
    </xf>
    <xf numFmtId="0" fontId="28" fillId="0" borderId="13" xfId="0" applyFont="1" applyBorder="1" applyAlignment="1">
      <alignment wrapText="1"/>
    </xf>
    <xf numFmtId="0" fontId="26" fillId="0" borderId="6" xfId="0" applyFont="1" applyBorder="1" applyAlignment="1">
      <alignment vertical="top"/>
    </xf>
    <xf numFmtId="0" fontId="26" fillId="0" borderId="12" xfId="0" applyFont="1" applyBorder="1" applyAlignment="1">
      <alignment horizontal="left" wrapText="1"/>
    </xf>
    <xf numFmtId="0" fontId="28" fillId="0" borderId="13" xfId="0" applyFont="1" applyBorder="1" applyAlignment="1">
      <alignment horizontal="left" vertical="top" wrapText="1"/>
    </xf>
    <xf numFmtId="0" fontId="28" fillId="0" borderId="10" xfId="0" applyFont="1" applyBorder="1" applyAlignment="1">
      <alignment horizontal="center"/>
    </xf>
    <xf numFmtId="0" fontId="26" fillId="0" borderId="12" xfId="0" applyFont="1" applyBorder="1" applyAlignment="1">
      <alignment horizontal="left" vertical="top" wrapText="1"/>
    </xf>
    <xf numFmtId="0" fontId="28" fillId="0" borderId="0" xfId="0" applyFont="1" applyAlignment="1">
      <alignment horizontal="lef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horizontal="right" vertical="top" wrapText="1"/>
    </xf>
    <xf numFmtId="0" fontId="28" fillId="0" borderId="3" xfId="0" applyFont="1" applyBorder="1" applyAlignment="1">
      <alignment horizontal="center"/>
    </xf>
    <xf numFmtId="0" fontId="27" fillId="0" borderId="4" xfId="0" applyFont="1" applyBorder="1" applyAlignment="1">
      <alignment vertical="center"/>
    </xf>
    <xf numFmtId="0" fontId="26" fillId="0" borderId="13" xfId="0" applyFont="1" applyBorder="1" applyAlignment="1">
      <alignment horizontal="left"/>
    </xf>
    <xf numFmtId="0" fontId="29" fillId="0" borderId="8" xfId="0" applyFont="1" applyBorder="1" applyAlignment="1">
      <alignment horizontal="center"/>
    </xf>
    <xf numFmtId="0" fontId="27" fillId="0" borderId="13" xfId="0" applyFont="1" applyBorder="1" applyAlignment="1">
      <alignment horizontal="right"/>
    </xf>
    <xf numFmtId="0" fontId="28" fillId="0" borderId="13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8" xfId="0" applyFont="1" applyBorder="1" applyAlignment="1">
      <alignment horizontal="left"/>
    </xf>
    <xf numFmtId="0" fontId="27" fillId="0" borderId="10" xfId="0" applyFont="1" applyBorder="1" applyAlignment="1">
      <alignment horizontal="right"/>
    </xf>
    <xf numFmtId="0" fontId="27" fillId="0" borderId="12" xfId="0" applyFont="1" applyBorder="1"/>
    <xf numFmtId="0" fontId="27" fillId="0" borderId="6" xfId="0" applyFont="1" applyBorder="1"/>
    <xf numFmtId="0" fontId="27" fillId="0" borderId="11" xfId="0" applyFont="1" applyBorder="1"/>
    <xf numFmtId="0" fontId="28" fillId="0" borderId="4" xfId="0" applyFont="1" applyBorder="1" applyAlignment="1">
      <alignment horizontal="center"/>
    </xf>
    <xf numFmtId="0" fontId="26" fillId="0" borderId="12" xfId="0" applyFont="1" applyBorder="1" applyAlignment="1">
      <alignment horizontal="left"/>
    </xf>
    <xf numFmtId="0" fontId="28" fillId="0" borderId="0" xfId="0" applyFont="1"/>
    <xf numFmtId="0" fontId="28" fillId="0" borderId="0" xfId="0" applyFont="1" applyAlignment="1">
      <alignment horizontal="left" vertical="distributed" wrapText="1"/>
    </xf>
    <xf numFmtId="0" fontId="26" fillId="0" borderId="11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7" fillId="0" borderId="4" xfId="0" applyFont="1" applyBorder="1" applyAlignment="1">
      <alignment horizontal="right"/>
    </xf>
    <xf numFmtId="0" fontId="27" fillId="0" borderId="4" xfId="0" applyFont="1" applyBorder="1" applyAlignment="1">
      <alignment horizontal="center"/>
    </xf>
    <xf numFmtId="0" fontId="28" fillId="0" borderId="13" xfId="0" applyFont="1" applyBorder="1" applyAlignment="1">
      <alignment horizontal="left" vertical="distributed" wrapText="1"/>
    </xf>
    <xf numFmtId="0" fontId="27" fillId="0" borderId="4" xfId="0" applyFont="1" applyBorder="1"/>
    <xf numFmtId="0" fontId="26" fillId="0" borderId="8" xfId="0" applyFont="1" applyBorder="1" applyAlignment="1">
      <alignment horizontal="left"/>
    </xf>
    <xf numFmtId="0" fontId="28" fillId="0" borderId="0" xfId="0" applyFont="1" applyAlignment="1">
      <alignment horizontal="left" vertical="top" wrapText="1"/>
    </xf>
    <xf numFmtId="0" fontId="27" fillId="0" borderId="8" xfId="0" applyFont="1" applyBorder="1" applyAlignment="1">
      <alignment horizontal="center" vertical="top"/>
    </xf>
    <xf numFmtId="0" fontId="28" fillId="0" borderId="13" xfId="0" applyFont="1" applyBorder="1" applyAlignment="1">
      <alignment horizontal="left"/>
    </xf>
    <xf numFmtId="0" fontId="28" fillId="0" borderId="8" xfId="0" applyFont="1" applyBorder="1" applyAlignment="1">
      <alignment horizontal="center" vertical="top" wrapText="1"/>
    </xf>
    <xf numFmtId="0" fontId="27" fillId="0" borderId="8" xfId="0" applyFont="1" applyBorder="1" applyAlignment="1">
      <alignment horizontal="left" vertical="top" wrapText="1"/>
    </xf>
    <xf numFmtId="0" fontId="27" fillId="0" borderId="8" xfId="0" applyFont="1" applyBorder="1" applyAlignment="1">
      <alignment horizontal="center" vertical="top" wrapText="1"/>
    </xf>
    <xf numFmtId="0" fontId="27" fillId="0" borderId="8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7" fillId="0" borderId="8" xfId="0" applyFont="1" applyBorder="1" applyAlignment="1">
      <alignment vertical="top" wrapText="1"/>
    </xf>
    <xf numFmtId="0" fontId="28" fillId="0" borderId="13" xfId="0" applyFont="1" applyBorder="1" applyAlignment="1">
      <alignment horizontal="left" vertical="center" wrapText="1"/>
    </xf>
    <xf numFmtId="0" fontId="26" fillId="0" borderId="8" xfId="0" applyFont="1" applyBorder="1" applyAlignment="1">
      <alignment vertical="top" wrapText="1"/>
    </xf>
    <xf numFmtId="0" fontId="27" fillId="0" borderId="8" xfId="0" applyFont="1" applyBorder="1" applyAlignment="1">
      <alignment vertical="center" wrapText="1"/>
    </xf>
    <xf numFmtId="0" fontId="26" fillId="0" borderId="8" xfId="0" applyFont="1" applyBorder="1" applyAlignment="1">
      <alignment horizontal="left" vertical="top" wrapText="1"/>
    </xf>
    <xf numFmtId="0" fontId="27" fillId="0" borderId="13" xfId="0" applyFont="1" applyBorder="1" applyAlignment="1">
      <alignment horizontal="center" vertical="top" wrapText="1"/>
    </xf>
    <xf numFmtId="0" fontId="27" fillId="0" borderId="13" xfId="0" applyFont="1" applyBorder="1" applyAlignment="1">
      <alignment horizontal="left" wrapText="1"/>
    </xf>
    <xf numFmtId="0" fontId="27" fillId="0" borderId="13" xfId="0" applyFont="1" applyBorder="1" applyAlignment="1">
      <alignment horizontal="left" vertical="top" wrapText="1"/>
    </xf>
    <xf numFmtId="0" fontId="27" fillId="0" borderId="14" xfId="0" applyFont="1" applyBorder="1"/>
    <xf numFmtId="0" fontId="26" fillId="0" borderId="15" xfId="0" applyFont="1" applyBorder="1" applyAlignment="1">
      <alignment horizontal="left" shrinkToFit="1"/>
    </xf>
    <xf numFmtId="0" fontId="26" fillId="0" borderId="16" xfId="0" applyFont="1" applyBorder="1" applyAlignment="1">
      <alignment horizontal="center" shrinkToFit="1"/>
    </xf>
    <xf numFmtId="0" fontId="27" fillId="0" borderId="18" xfId="0" applyFont="1" applyBorder="1"/>
    <xf numFmtId="0" fontId="27" fillId="0" borderId="19" xfId="0" applyFont="1" applyBorder="1" applyAlignment="1">
      <alignment horizontal="center"/>
    </xf>
    <xf numFmtId="0" fontId="26" fillId="0" borderId="20" xfId="0" applyFont="1" applyBorder="1" applyAlignment="1">
      <alignment horizontal="center" shrinkToFit="1"/>
    </xf>
    <xf numFmtId="0" fontId="27" fillId="0" borderId="21" xfId="0" applyFont="1" applyBorder="1"/>
    <xf numFmtId="0" fontId="26" fillId="0" borderId="13" xfId="0" applyFont="1" applyBorder="1" applyAlignment="1">
      <alignment horizontal="center" shrinkToFit="1"/>
    </xf>
    <xf numFmtId="0" fontId="27" fillId="0" borderId="21" xfId="0" applyFont="1" applyBorder="1" applyAlignment="1">
      <alignment vertical="center"/>
    </xf>
    <xf numFmtId="0" fontId="27" fillId="0" borderId="21" xfId="0" applyFont="1" applyBorder="1" applyAlignment="1">
      <alignment vertical="top"/>
    </xf>
    <xf numFmtId="0" fontId="26" fillId="0" borderId="8" xfId="0" applyFont="1" applyBorder="1" applyAlignment="1">
      <alignment horizontal="left" shrinkToFit="1"/>
    </xf>
    <xf numFmtId="0" fontId="27" fillId="0" borderId="10" xfId="0" applyFont="1" applyBorder="1" applyAlignment="1">
      <alignment horizontal="center"/>
    </xf>
    <xf numFmtId="0" fontId="28" fillId="0" borderId="10" xfId="0" applyFont="1" applyBorder="1"/>
    <xf numFmtId="0" fontId="27" fillId="0" borderId="10" xfId="0" applyFont="1" applyBorder="1" applyAlignment="1">
      <alignment horizontal="left" vertical="top" wrapText="1"/>
    </xf>
    <xf numFmtId="0" fontId="28" fillId="0" borderId="8" xfId="0" applyFont="1" applyBorder="1" applyAlignment="1">
      <alignment horizontal="left" vertical="top" wrapText="1"/>
    </xf>
    <xf numFmtId="167" fontId="27" fillId="0" borderId="13" xfId="0" applyNumberFormat="1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8" fillId="0" borderId="8" xfId="0" applyFont="1" applyBorder="1" applyAlignment="1">
      <alignment horizontal="left" wrapText="1"/>
    </xf>
    <xf numFmtId="0" fontId="28" fillId="0" borderId="8" xfId="0" applyFont="1" applyBorder="1" applyAlignment="1">
      <alignment horizontal="center" wrapText="1"/>
    </xf>
    <xf numFmtId="0" fontId="27" fillId="0" borderId="8" xfId="0" applyFont="1" applyBorder="1" applyAlignment="1">
      <alignment vertical="top"/>
    </xf>
    <xf numFmtId="0" fontId="26" fillId="0" borderId="10" xfId="0" applyFont="1" applyBorder="1" applyAlignment="1">
      <alignment horizontal="left" vertical="top" wrapText="1"/>
    </xf>
    <xf numFmtId="0" fontId="27" fillId="2" borderId="8" xfId="0" applyFont="1" applyFill="1" applyBorder="1" applyAlignment="1">
      <alignment horizontal="center" vertical="top" wrapText="1"/>
    </xf>
    <xf numFmtId="0" fontId="27" fillId="2" borderId="13" xfId="0" applyFont="1" applyFill="1" applyBorder="1" applyAlignment="1">
      <alignment horizontal="right"/>
    </xf>
    <xf numFmtId="0" fontId="27" fillId="2" borderId="10" xfId="0" applyFont="1" applyFill="1" applyBorder="1" applyAlignment="1">
      <alignment horizontal="center" vertical="top" wrapText="1"/>
    </xf>
    <xf numFmtId="0" fontId="27" fillId="2" borderId="3" xfId="0" applyFont="1" applyFill="1" applyBorder="1" applyAlignment="1">
      <alignment horizontal="left" vertical="top" wrapText="1"/>
    </xf>
    <xf numFmtId="0" fontId="26" fillId="2" borderId="24" xfId="0" applyFont="1" applyFill="1" applyBorder="1"/>
    <xf numFmtId="0" fontId="27" fillId="2" borderId="10" xfId="0" applyFont="1" applyFill="1" applyBorder="1" applyAlignment="1">
      <alignment horizontal="center"/>
    </xf>
    <xf numFmtId="0" fontId="27" fillId="2" borderId="25" xfId="0" applyFont="1" applyFill="1" applyBorder="1" applyAlignment="1">
      <alignment horizontal="center"/>
    </xf>
    <xf numFmtId="0" fontId="28" fillId="2" borderId="25" xfId="0" applyFont="1" applyFill="1" applyBorder="1"/>
    <xf numFmtId="0" fontId="27" fillId="2" borderId="25" xfId="0" applyFont="1" applyFill="1" applyBorder="1" applyAlignment="1">
      <alignment horizontal="right"/>
    </xf>
    <xf numFmtId="0" fontId="27" fillId="2" borderId="25" xfId="0" applyFont="1" applyFill="1" applyBorder="1" applyAlignment="1">
      <alignment horizontal="right" wrapText="1"/>
    </xf>
    <xf numFmtId="0" fontId="25" fillId="0" borderId="25" xfId="0" applyFont="1" applyBorder="1" applyAlignment="1">
      <alignment horizontal="right"/>
    </xf>
    <xf numFmtId="0" fontId="26" fillId="2" borderId="27" xfId="0" applyFont="1" applyFill="1" applyBorder="1"/>
    <xf numFmtId="0" fontId="27" fillId="2" borderId="28" xfId="0" applyFont="1" applyFill="1" applyBorder="1"/>
    <xf numFmtId="0" fontId="27" fillId="2" borderId="28" xfId="0" applyFont="1" applyFill="1" applyBorder="1" applyAlignment="1">
      <alignment vertical="center"/>
    </xf>
    <xf numFmtId="0" fontId="30" fillId="0" borderId="0" xfId="0" applyFont="1"/>
    <xf numFmtId="0" fontId="30" fillId="3" borderId="0" xfId="0" applyFont="1" applyFill="1" applyAlignment="1">
      <alignment horizontal="center"/>
    </xf>
    <xf numFmtId="0" fontId="30" fillId="2" borderId="0" xfId="0" applyFont="1" applyFill="1"/>
    <xf numFmtId="0" fontId="6" fillId="0" borderId="0" xfId="0" applyFont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 shrinkToFit="1"/>
    </xf>
    <xf numFmtId="0" fontId="30" fillId="0" borderId="0" xfId="0" applyFont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164" fontId="30" fillId="0" borderId="0" xfId="0" applyNumberFormat="1" applyFont="1"/>
    <xf numFmtId="0" fontId="31" fillId="0" borderId="0" xfId="0" applyFont="1"/>
    <xf numFmtId="167" fontId="30" fillId="0" borderId="0" xfId="0" applyNumberFormat="1" applyFont="1"/>
    <xf numFmtId="4" fontId="30" fillId="0" borderId="0" xfId="0" applyNumberFormat="1" applyFont="1"/>
    <xf numFmtId="0" fontId="32" fillId="0" borderId="0" xfId="0" applyFont="1"/>
    <xf numFmtId="165" fontId="30" fillId="0" borderId="0" xfId="0" applyNumberFormat="1" applyFont="1"/>
    <xf numFmtId="3" fontId="30" fillId="0" borderId="0" xfId="0" applyNumberFormat="1" applyFont="1"/>
    <xf numFmtId="164" fontId="30" fillId="0" borderId="0" xfId="0" applyNumberFormat="1" applyFont="1" applyAlignment="1">
      <alignment horizontal="right"/>
    </xf>
    <xf numFmtId="0" fontId="27" fillId="0" borderId="23" xfId="0" applyFont="1" applyBorder="1"/>
    <xf numFmtId="0" fontId="27" fillId="0" borderId="29" xfId="0" applyFont="1" applyBorder="1" applyAlignment="1">
      <alignment horizontal="right"/>
    </xf>
    <xf numFmtId="0" fontId="27" fillId="0" borderId="32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5" fillId="0" borderId="0" xfId="0" applyFont="1" applyAlignment="1">
      <alignment horizontal="right"/>
    </xf>
    <xf numFmtId="0" fontId="30" fillId="2" borderId="34" xfId="0" applyFont="1" applyFill="1" applyBorder="1" applyAlignment="1">
      <alignment horizontal="center" vertical="center" wrapText="1"/>
    </xf>
    <xf numFmtId="0" fontId="30" fillId="2" borderId="34" xfId="0" applyFont="1" applyFill="1" applyBorder="1" applyAlignment="1">
      <alignment horizontal="center"/>
    </xf>
    <xf numFmtId="0" fontId="26" fillId="2" borderId="28" xfId="0" applyFont="1" applyFill="1" applyBorder="1"/>
    <xf numFmtId="0" fontId="27" fillId="2" borderId="25" xfId="0" applyFont="1" applyFill="1" applyBorder="1"/>
    <xf numFmtId="0" fontId="27" fillId="2" borderId="26" xfId="0" applyFont="1" applyFill="1" applyBorder="1"/>
    <xf numFmtId="0" fontId="25" fillId="0" borderId="32" xfId="0" applyFont="1" applyBorder="1" applyAlignment="1">
      <alignment horizontal="right"/>
    </xf>
    <xf numFmtId="0" fontId="27" fillId="2" borderId="26" xfId="0" applyFont="1" applyFill="1" applyBorder="1" applyAlignment="1">
      <alignment horizontal="center"/>
    </xf>
    <xf numFmtId="0" fontId="27" fillId="2" borderId="25" xfId="0" applyFont="1" applyFill="1" applyBorder="1" applyAlignment="1">
      <alignment vertical="center"/>
    </xf>
    <xf numFmtId="0" fontId="27" fillId="2" borderId="10" xfId="0" applyFont="1" applyFill="1" applyBorder="1" applyAlignment="1">
      <alignment horizontal="right"/>
    </xf>
    <xf numFmtId="0" fontId="27" fillId="2" borderId="28" xfId="0" applyFont="1" applyFill="1" applyBorder="1" applyAlignment="1">
      <alignment horizontal="center"/>
    </xf>
    <xf numFmtId="0" fontId="33" fillId="0" borderId="0" xfId="0" applyFont="1" applyAlignment="1">
      <alignment horizontal="left" wrapText="1"/>
    </xf>
    <xf numFmtId="0" fontId="28" fillId="2" borderId="8" xfId="0" applyFont="1" applyFill="1" applyBorder="1" applyAlignment="1">
      <alignment horizontal="left" wrapText="1"/>
    </xf>
    <xf numFmtId="0" fontId="27" fillId="0" borderId="23" xfId="0" applyFont="1" applyBorder="1" applyAlignment="1">
      <alignment horizontal="left"/>
    </xf>
    <xf numFmtId="0" fontId="28" fillId="0" borderId="8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right" vertical="distributed" wrapText="1"/>
    </xf>
    <xf numFmtId="0" fontId="28" fillId="0" borderId="0" xfId="0" applyFont="1" applyAlignment="1">
      <alignment horizontal="left" wrapText="1"/>
    </xf>
    <xf numFmtId="0" fontId="28" fillId="0" borderId="8" xfId="0" applyFont="1" applyBorder="1" applyAlignment="1">
      <alignment vertical="top" wrapText="1"/>
    </xf>
    <xf numFmtId="0" fontId="34" fillId="0" borderId="0" xfId="0" applyFont="1" applyAlignment="1">
      <alignment wrapText="1"/>
    </xf>
    <xf numFmtId="167" fontId="27" fillId="0" borderId="13" xfId="0" applyNumberFormat="1" applyFont="1" applyBorder="1"/>
    <xf numFmtId="167" fontId="27" fillId="0" borderId="25" xfId="0" applyNumberFormat="1" applyFont="1" applyBorder="1"/>
    <xf numFmtId="167" fontId="27" fillId="0" borderId="8" xfId="0" applyNumberFormat="1" applyFont="1" applyBorder="1"/>
    <xf numFmtId="167" fontId="27" fillId="0" borderId="0" xfId="0" applyNumberFormat="1" applyFont="1"/>
    <xf numFmtId="167" fontId="27" fillId="0" borderId="10" xfId="0" applyNumberFormat="1" applyFont="1" applyBorder="1"/>
    <xf numFmtId="167" fontId="27" fillId="0" borderId="3" xfId="0" applyNumberFormat="1" applyFont="1" applyBorder="1"/>
    <xf numFmtId="0" fontId="27" fillId="0" borderId="28" xfId="0" applyFont="1" applyBorder="1" applyAlignment="1">
      <alignment horizontal="center"/>
    </xf>
    <xf numFmtId="0" fontId="28" fillId="0" borderId="10" xfId="0" applyFont="1" applyBorder="1" applyAlignment="1">
      <alignment horizontal="left" wrapText="1"/>
    </xf>
    <xf numFmtId="0" fontId="1" fillId="0" borderId="5" xfId="0" applyFont="1" applyBorder="1" applyAlignment="1">
      <alignment horizontal="right"/>
    </xf>
    <xf numFmtId="0" fontId="7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wrapText="1"/>
    </xf>
    <xf numFmtId="0" fontId="0" fillId="0" borderId="13" xfId="0" applyBorder="1"/>
    <xf numFmtId="0" fontId="36" fillId="0" borderId="0" xfId="0" applyFont="1" applyAlignment="1">
      <alignment horizontal="right" wrapText="1"/>
    </xf>
    <xf numFmtId="0" fontId="0" fillId="0" borderId="2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2" fillId="0" borderId="25" xfId="0" applyFont="1" applyBorder="1" applyAlignment="1">
      <alignment horizontal="left"/>
    </xf>
    <xf numFmtId="0" fontId="1" fillId="0" borderId="25" xfId="0" applyFont="1" applyBorder="1"/>
    <xf numFmtId="0" fontId="1" fillId="0" borderId="25" xfId="0" applyFont="1" applyBorder="1" applyAlignment="1">
      <alignment vertical="center"/>
    </xf>
    <xf numFmtId="0" fontId="1" fillId="0" borderId="25" xfId="0" applyFont="1" applyBorder="1" applyAlignment="1">
      <alignment vertical="top"/>
    </xf>
    <xf numFmtId="0" fontId="2" fillId="0" borderId="35" xfId="0" applyFont="1" applyBorder="1"/>
    <xf numFmtId="0" fontId="1" fillId="0" borderId="33" xfId="0" applyFont="1" applyBorder="1"/>
    <xf numFmtId="0" fontId="1" fillId="0" borderId="26" xfId="0" applyFont="1" applyBorder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wrapText="1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right" wrapText="1"/>
    </xf>
    <xf numFmtId="0" fontId="22" fillId="0" borderId="10" xfId="0" applyFont="1" applyBorder="1" applyAlignment="1">
      <alignment horizontal="left" vertical="distributed" wrapText="1"/>
    </xf>
    <xf numFmtId="0" fontId="24" fillId="0" borderId="0" xfId="0" applyFont="1" applyAlignment="1">
      <alignment horizontal="left" vertical="distributed" wrapText="1"/>
    </xf>
    <xf numFmtId="0" fontId="1" fillId="0" borderId="0" xfId="0" applyFont="1" applyAlignment="1">
      <alignment horizontal="right" vertical="center" wrapText="1"/>
    </xf>
    <xf numFmtId="0" fontId="2" fillId="0" borderId="9" xfId="0" applyFont="1" applyBorder="1"/>
    <xf numFmtId="0" fontId="1" fillId="0" borderId="5" xfId="0" applyFont="1" applyBorder="1" applyAlignment="1">
      <alignment horizontal="right" wrapText="1"/>
    </xf>
    <xf numFmtId="167" fontId="2" fillId="0" borderId="24" xfId="0" applyNumberFormat="1" applyFont="1" applyBorder="1"/>
    <xf numFmtId="0" fontId="0" fillId="0" borderId="25" xfId="0" applyBorder="1"/>
    <xf numFmtId="167" fontId="24" fillId="0" borderId="25" xfId="0" applyNumberFormat="1" applyFont="1" applyBorder="1"/>
    <xf numFmtId="167" fontId="0" fillId="0" borderId="25" xfId="0" applyNumberFormat="1" applyBorder="1"/>
    <xf numFmtId="0" fontId="24" fillId="0" borderId="25" xfId="0" applyFont="1" applyBorder="1"/>
    <xf numFmtId="167" fontId="1" fillId="0" borderId="25" xfId="0" applyNumberFormat="1" applyFont="1" applyBorder="1"/>
    <xf numFmtId="167" fontId="2" fillId="0" borderId="35" xfId="0" applyNumberFormat="1" applyFont="1" applyBorder="1"/>
    <xf numFmtId="167" fontId="0" fillId="0" borderId="26" xfId="0" applyNumberFormat="1" applyBorder="1"/>
    <xf numFmtId="0" fontId="20" fillId="0" borderId="13" xfId="0" applyFont="1" applyBorder="1"/>
    <xf numFmtId="0" fontId="8" fillId="0" borderId="13" xfId="0" applyFont="1" applyBorder="1"/>
    <xf numFmtId="0" fontId="22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23" fillId="0" borderId="13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22" fillId="0" borderId="13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2" fontId="6" fillId="0" borderId="13" xfId="0" applyNumberFormat="1" applyFont="1" applyBorder="1" applyAlignment="1">
      <alignment horizontal="center" vertical="top" wrapText="1"/>
    </xf>
    <xf numFmtId="2" fontId="6" fillId="0" borderId="13" xfId="0" applyNumberFormat="1" applyFont="1" applyBorder="1" applyAlignment="1">
      <alignment horizontal="center" vertical="center" wrapText="1"/>
    </xf>
    <xf numFmtId="0" fontId="2" fillId="0" borderId="2" xfId="0" applyFont="1" applyBorder="1"/>
    <xf numFmtId="0" fontId="0" fillId="0" borderId="11" xfId="0" applyBorder="1"/>
    <xf numFmtId="0" fontId="0" fillId="0" borderId="6" xfId="0" applyBorder="1" applyAlignment="1">
      <alignment horizontal="center" vertical="center"/>
    </xf>
    <xf numFmtId="167" fontId="26" fillId="0" borderId="11" xfId="0" applyNumberFormat="1" applyFont="1" applyBorder="1"/>
    <xf numFmtId="167" fontId="28" fillId="0" borderId="13" xfId="0" applyNumberFormat="1" applyFont="1" applyBorder="1"/>
    <xf numFmtId="167" fontId="28" fillId="0" borderId="25" xfId="0" applyNumberFormat="1" applyFont="1" applyBorder="1"/>
    <xf numFmtId="167" fontId="28" fillId="0" borderId="0" xfId="0" applyNumberFormat="1" applyFont="1"/>
    <xf numFmtId="167" fontId="27" fillId="0" borderId="32" xfId="0" applyNumberFormat="1" applyFont="1" applyBorder="1"/>
    <xf numFmtId="167" fontId="27" fillId="0" borderId="26" xfId="0" applyNumberFormat="1" applyFont="1" applyBorder="1"/>
    <xf numFmtId="167" fontId="26" fillId="0" borderId="13" xfId="0" applyNumberFormat="1" applyFont="1" applyBorder="1"/>
    <xf numFmtId="167" fontId="28" fillId="0" borderId="31" xfId="0" applyNumberFormat="1" applyFont="1" applyBorder="1"/>
    <xf numFmtId="167" fontId="26" fillId="0" borderId="6" xfId="0" applyNumberFormat="1" applyFont="1" applyBorder="1"/>
    <xf numFmtId="167" fontId="26" fillId="0" borderId="8" xfId="0" applyNumberFormat="1" applyFont="1" applyBorder="1"/>
    <xf numFmtId="167" fontId="28" fillId="0" borderId="8" xfId="0" applyNumberFormat="1" applyFont="1" applyBorder="1"/>
    <xf numFmtId="167" fontId="27" fillId="0" borderId="29" xfId="0" applyNumberFormat="1" applyFont="1" applyBorder="1"/>
    <xf numFmtId="167" fontId="26" fillId="0" borderId="0" xfId="0" applyNumberFormat="1" applyFont="1"/>
    <xf numFmtId="167" fontId="27" fillId="0" borderId="23" xfId="0" applyNumberFormat="1" applyFont="1" applyBorder="1"/>
    <xf numFmtId="167" fontId="28" fillId="0" borderId="10" xfId="0" applyNumberFormat="1" applyFont="1" applyBorder="1"/>
    <xf numFmtId="167" fontId="26" fillId="0" borderId="12" xfId="0" applyNumberFormat="1" applyFont="1" applyBorder="1"/>
    <xf numFmtId="167" fontId="26" fillId="0" borderId="24" xfId="0" applyNumberFormat="1" applyFont="1" applyBorder="1"/>
    <xf numFmtId="167" fontId="27" fillId="0" borderId="4" xfId="0" applyNumberFormat="1" applyFont="1" applyBorder="1"/>
    <xf numFmtId="167" fontId="27" fillId="0" borderId="5" xfId="0" applyNumberFormat="1" applyFont="1" applyBorder="1"/>
    <xf numFmtId="1" fontId="27" fillId="0" borderId="13" xfId="0" applyNumberFormat="1" applyFont="1" applyBorder="1"/>
    <xf numFmtId="1" fontId="27" fillId="0" borderId="25" xfId="0" applyNumberFormat="1" applyFont="1" applyBorder="1"/>
    <xf numFmtId="0" fontId="6" fillId="0" borderId="25" xfId="0" applyFont="1" applyBorder="1"/>
    <xf numFmtId="167" fontId="27" fillId="0" borderId="25" xfId="0" applyNumberFormat="1" applyFont="1" applyBorder="1" applyAlignment="1">
      <alignment wrapText="1"/>
    </xf>
    <xf numFmtId="167" fontId="26" fillId="0" borderId="17" xfId="0" applyNumberFormat="1" applyFont="1" applyBorder="1"/>
    <xf numFmtId="167" fontId="27" fillId="0" borderId="19" xfId="0" applyNumberFormat="1" applyFont="1" applyBorder="1"/>
    <xf numFmtId="0" fontId="27" fillId="2" borderId="0" xfId="0" applyFont="1" applyFill="1" applyBorder="1" applyAlignment="1">
      <alignment horizontal="right" wrapText="1"/>
    </xf>
    <xf numFmtId="0" fontId="25" fillId="0" borderId="0" xfId="0" applyFont="1" applyAlignment="1">
      <alignment horizontal="right" wrapText="1"/>
    </xf>
    <xf numFmtId="0" fontId="28" fillId="2" borderId="10" xfId="0" applyFont="1" applyFill="1" applyBorder="1"/>
    <xf numFmtId="0" fontId="27" fillId="0" borderId="25" xfId="0" applyFont="1" applyBorder="1" applyAlignment="1">
      <alignment vertical="center"/>
    </xf>
    <xf numFmtId="0" fontId="28" fillId="0" borderId="28" xfId="0" applyFont="1" applyBorder="1" applyAlignment="1">
      <alignment horizontal="center"/>
    </xf>
    <xf numFmtId="0" fontId="27" fillId="0" borderId="0" xfId="0" applyFont="1" applyBorder="1" applyAlignment="1">
      <alignment horizontal="right" wrapText="1"/>
    </xf>
    <xf numFmtId="0" fontId="28" fillId="0" borderId="13" xfId="0" applyFont="1" applyBorder="1" applyAlignment="1">
      <alignment horizontal="left" wrapText="1"/>
    </xf>
    <xf numFmtId="0" fontId="30" fillId="0" borderId="0" xfId="0" applyFont="1" applyAlignment="1">
      <alignment horizontal="right"/>
    </xf>
    <xf numFmtId="164" fontId="27" fillId="0" borderId="13" xfId="0" applyNumberFormat="1" applyFont="1" applyBorder="1"/>
    <xf numFmtId="164" fontId="27" fillId="0" borderId="25" xfId="0" applyNumberFormat="1" applyFont="1" applyBorder="1" applyAlignment="1">
      <alignment horizontal="right"/>
    </xf>
    <xf numFmtId="0" fontId="28" fillId="0" borderId="0" xfId="0" applyFont="1" applyBorder="1" applyAlignment="1">
      <alignment horizontal="left"/>
    </xf>
    <xf numFmtId="164" fontId="27" fillId="0" borderId="30" xfId="0" applyNumberFormat="1" applyFont="1" applyBorder="1" applyAlignment="1">
      <alignment horizontal="right"/>
    </xf>
    <xf numFmtId="164" fontId="27" fillId="0" borderId="31" xfId="0" applyNumberFormat="1" applyFont="1" applyBorder="1"/>
    <xf numFmtId="0" fontId="27" fillId="0" borderId="30" xfId="0" applyFont="1" applyBorder="1" applyAlignment="1">
      <alignment horizontal="right" wrapText="1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right" wrapText="1"/>
    </xf>
    <xf numFmtId="164" fontId="27" fillId="0" borderId="8" xfId="0" applyNumberFormat="1" applyFont="1" applyBorder="1"/>
    <xf numFmtId="0" fontId="3" fillId="0" borderId="0" xfId="0" applyFont="1" applyAlignment="1">
      <alignment horizontal="center"/>
    </xf>
    <xf numFmtId="0" fontId="3" fillId="0" borderId="8" xfId="0" applyFont="1" applyBorder="1"/>
    <xf numFmtId="0" fontId="3" fillId="0" borderId="3" xfId="0" applyFont="1" applyBorder="1"/>
    <xf numFmtId="0" fontId="6" fillId="0" borderId="8" xfId="0" applyFont="1" applyBorder="1"/>
    <xf numFmtId="0" fontId="3" fillId="0" borderId="13" xfId="0" applyFont="1" applyBorder="1" applyAlignment="1">
      <alignment horizontal="right" wrapText="1"/>
    </xf>
    <xf numFmtId="167" fontId="3" fillId="0" borderId="13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2" fillId="0" borderId="0" xfId="0" applyFont="1" applyAlignment="1">
      <alignment horizontal="right" wrapText="1"/>
    </xf>
    <xf numFmtId="0" fontId="34" fillId="0" borderId="32" xfId="0" applyFont="1" applyBorder="1" applyAlignment="1">
      <alignment wrapText="1"/>
    </xf>
    <xf numFmtId="0" fontId="32" fillId="0" borderId="8" xfId="0" applyFont="1" applyBorder="1" applyAlignment="1">
      <alignment horizontal="right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right"/>
    </xf>
    <xf numFmtId="0" fontId="3" fillId="0" borderId="21" xfId="0" applyFont="1" applyBorder="1" applyAlignment="1">
      <alignment vertical="center"/>
    </xf>
    <xf numFmtId="167" fontId="26" fillId="0" borderId="36" xfId="0" applyNumberFormat="1" applyFont="1" applyBorder="1"/>
    <xf numFmtId="167" fontId="27" fillId="0" borderId="37" xfId="0" applyNumberFormat="1" applyFont="1" applyBorder="1"/>
    <xf numFmtId="0" fontId="27" fillId="0" borderId="0" xfId="0" applyFont="1" applyBorder="1" applyAlignment="1">
      <alignment horizontal="right"/>
    </xf>
    <xf numFmtId="167" fontId="27" fillId="0" borderId="38" xfId="0" applyNumberFormat="1" applyFont="1" applyBorder="1"/>
    <xf numFmtId="0" fontId="34" fillId="0" borderId="0" xfId="0" applyFont="1" applyBorder="1" applyAlignment="1">
      <alignment horizontal="right" wrapText="1"/>
    </xf>
    <xf numFmtId="0" fontId="27" fillId="0" borderId="0" xfId="0" applyFont="1" applyBorder="1" applyAlignment="1">
      <alignment horizontal="right" vertical="top" wrapText="1"/>
    </xf>
    <xf numFmtId="167" fontId="27" fillId="0" borderId="39" xfId="0" applyNumberFormat="1" applyFont="1" applyBorder="1"/>
    <xf numFmtId="0" fontId="26" fillId="0" borderId="41" xfId="0" applyFont="1" applyBorder="1" applyAlignment="1">
      <alignment horizontal="left" shrinkToFit="1"/>
    </xf>
    <xf numFmtId="167" fontId="27" fillId="0" borderId="41" xfId="0" applyNumberFormat="1" applyFont="1" applyBorder="1"/>
    <xf numFmtId="167" fontId="27" fillId="0" borderId="42" xfId="0" applyNumberFormat="1" applyFont="1" applyBorder="1"/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167" fontId="26" fillId="0" borderId="43" xfId="0" applyNumberFormat="1" applyFont="1" applyBorder="1"/>
    <xf numFmtId="0" fontId="27" fillId="0" borderId="0" xfId="0" applyFont="1" applyBorder="1" applyAlignment="1">
      <alignment horizontal="center"/>
    </xf>
    <xf numFmtId="167" fontId="27" fillId="0" borderId="0" xfId="0" applyNumberFormat="1" applyFont="1" applyBorder="1"/>
    <xf numFmtId="0" fontId="32" fillId="0" borderId="0" xfId="0" applyFont="1" applyAlignment="1">
      <alignment wrapText="1"/>
    </xf>
    <xf numFmtId="0" fontId="34" fillId="0" borderId="44" xfId="0" applyFont="1" applyBorder="1" applyAlignment="1">
      <alignment wrapText="1"/>
    </xf>
    <xf numFmtId="0" fontId="3" fillId="0" borderId="3" xfId="0" applyFont="1" applyBorder="1" applyAlignment="1">
      <alignment horizontal="right"/>
    </xf>
    <xf numFmtId="0" fontId="3" fillId="0" borderId="40" xfId="0" applyFont="1" applyBorder="1" applyAlignment="1">
      <alignment vertical="center"/>
    </xf>
    <xf numFmtId="0" fontId="30" fillId="2" borderId="13" xfId="0" applyFont="1" applyFill="1" applyBorder="1" applyAlignment="1">
      <alignment horizontal="center"/>
    </xf>
    <xf numFmtId="167" fontId="26" fillId="0" borderId="0" xfId="0" applyNumberFormat="1" applyFont="1" applyBorder="1"/>
    <xf numFmtId="167" fontId="28" fillId="0" borderId="0" xfId="0" applyNumberFormat="1" applyFont="1" applyBorder="1"/>
    <xf numFmtId="167" fontId="26" fillId="0" borderId="45" xfId="0" applyNumberFormat="1" applyFont="1" applyBorder="1"/>
    <xf numFmtId="166" fontId="26" fillId="0" borderId="0" xfId="0" applyNumberFormat="1" applyFont="1" applyBorder="1"/>
    <xf numFmtId="0" fontId="30" fillId="2" borderId="46" xfId="0" applyFont="1" applyFill="1" applyBorder="1" applyAlignment="1">
      <alignment horizontal="center" vertical="center" wrapText="1" shrinkToFit="1"/>
    </xf>
    <xf numFmtId="166" fontId="27" fillId="0" borderId="8" xfId="0" applyNumberFormat="1" applyFont="1" applyBorder="1"/>
    <xf numFmtId="167" fontId="30" fillId="0" borderId="28" xfId="0" applyNumberFormat="1" applyFont="1" applyBorder="1"/>
    <xf numFmtId="166" fontId="27" fillId="0" borderId="0" xfId="0" applyNumberFormat="1" applyFont="1" applyBorder="1"/>
    <xf numFmtId="0" fontId="35" fillId="0" borderId="0" xfId="0" applyFont="1" applyAlignment="1">
      <alignment horizontal="right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2" borderId="8" xfId="0" applyFont="1" applyFill="1" applyBorder="1"/>
    <xf numFmtId="0" fontId="3" fillId="2" borderId="8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 vertical="top" wrapText="1"/>
    </xf>
    <xf numFmtId="0" fontId="28" fillId="0" borderId="8" xfId="0" applyFont="1" applyBorder="1" applyAlignment="1">
      <alignment horizontal="center" vertical="top"/>
    </xf>
    <xf numFmtId="0" fontId="0" fillId="2" borderId="0" xfId="0" applyFill="1" applyAlignment="1"/>
    <xf numFmtId="0" fontId="32" fillId="2" borderId="0" xfId="0" applyFont="1" applyFill="1"/>
    <xf numFmtId="0" fontId="3" fillId="2" borderId="0" xfId="0" applyFont="1" applyFill="1"/>
    <xf numFmtId="0" fontId="34" fillId="0" borderId="4" xfId="0" applyFont="1" applyBorder="1" applyAlignment="1">
      <alignment wrapText="1"/>
    </xf>
    <xf numFmtId="0" fontId="27" fillId="0" borderId="4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18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31" fillId="2" borderId="0" xfId="0" applyFont="1" applyFill="1" applyAlignment="1">
      <alignment horizontal="center"/>
    </xf>
    <xf numFmtId="0" fontId="18" fillId="0" borderId="0" xfId="0" applyFont="1" applyAlignment="1">
      <alignment horizontal="center" wrapText="1"/>
    </xf>
  </cellXfs>
  <cellStyles count="2">
    <cellStyle name="Įprastas" xfId="0" builtinId="0"/>
    <cellStyle name="Įprastas 2" xfId="1" xr:uid="{CC215BDA-89A0-4381-9D4B-35D110D987A8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BC41B-8C34-4EEC-871D-59BC771FE47E}">
  <dimension ref="A1:J80"/>
  <sheetViews>
    <sheetView tabSelected="1" workbookViewId="0"/>
  </sheetViews>
  <sheetFormatPr defaultRowHeight="14.4" x14ac:dyDescent="0.3"/>
  <cols>
    <col min="1" max="1" width="8.44140625" customWidth="1"/>
    <col min="2" max="2" width="50.109375" customWidth="1"/>
    <col min="3" max="3" width="5.33203125" hidden="1" customWidth="1"/>
    <col min="4" max="4" width="40.109375" customWidth="1"/>
    <col min="9" max="9" width="9.5546875" bestFit="1" customWidth="1"/>
  </cols>
  <sheetData>
    <row r="1" spans="1:9" x14ac:dyDescent="0.3">
      <c r="D1" t="s">
        <v>0</v>
      </c>
    </row>
    <row r="2" spans="1:9" x14ac:dyDescent="0.3">
      <c r="D2" s="1" t="s">
        <v>1</v>
      </c>
      <c r="E2" s="1"/>
    </row>
    <row r="3" spans="1:9" ht="12.75" customHeight="1" x14ac:dyDescent="0.3">
      <c r="A3" s="2"/>
      <c r="B3" s="2"/>
      <c r="C3" s="2"/>
      <c r="D3" s="3" t="s">
        <v>2</v>
      </c>
      <c r="E3" s="4"/>
    </row>
    <row r="4" spans="1:9" ht="15" customHeight="1" x14ac:dyDescent="0.3">
      <c r="B4" s="5" t="s">
        <v>3</v>
      </c>
      <c r="C4" s="2"/>
      <c r="D4" s="2"/>
    </row>
    <row r="5" spans="1:9" ht="15" customHeight="1" x14ac:dyDescent="0.3">
      <c r="B5" s="5"/>
      <c r="C5" s="2"/>
      <c r="D5" s="2"/>
      <c r="E5" s="2"/>
    </row>
    <row r="6" spans="1:9" ht="17.25" customHeight="1" x14ac:dyDescent="0.3">
      <c r="A6" s="6" t="s">
        <v>4</v>
      </c>
      <c r="B6" s="6" t="s">
        <v>5</v>
      </c>
      <c r="C6" s="7"/>
      <c r="D6" s="8" t="s">
        <v>6</v>
      </c>
    </row>
    <row r="7" spans="1:9" ht="12.75" customHeight="1" x14ac:dyDescent="0.3">
      <c r="A7" s="6">
        <v>1</v>
      </c>
      <c r="B7" s="6">
        <v>2</v>
      </c>
      <c r="C7" s="9"/>
      <c r="D7" s="8">
        <v>3</v>
      </c>
    </row>
    <row r="8" spans="1:9" ht="12.75" customHeight="1" x14ac:dyDescent="0.3">
      <c r="A8" s="10" t="s">
        <v>7</v>
      </c>
      <c r="B8" s="10" t="s">
        <v>8</v>
      </c>
      <c r="C8" s="10"/>
      <c r="D8" s="11">
        <f>D9+D10+D14</f>
        <v>51018</v>
      </c>
    </row>
    <row r="9" spans="1:9" ht="12.75" customHeight="1" x14ac:dyDescent="0.3">
      <c r="A9" s="7" t="s">
        <v>9</v>
      </c>
      <c r="B9" s="7" t="s">
        <v>10</v>
      </c>
      <c r="C9" s="7"/>
      <c r="D9" s="12">
        <v>48763</v>
      </c>
    </row>
    <row r="10" spans="1:9" ht="12.75" customHeight="1" x14ac:dyDescent="0.3">
      <c r="A10" s="7" t="s">
        <v>11</v>
      </c>
      <c r="B10" s="7" t="s">
        <v>12</v>
      </c>
      <c r="C10" s="7"/>
      <c r="D10" s="12">
        <f>D11+D12+D13</f>
        <v>2155</v>
      </c>
    </row>
    <row r="11" spans="1:9" ht="12.75" customHeight="1" x14ac:dyDescent="0.3">
      <c r="A11" s="7" t="s">
        <v>13</v>
      </c>
      <c r="B11" s="7" t="s">
        <v>14</v>
      </c>
      <c r="C11" s="7"/>
      <c r="D11" s="12">
        <v>630</v>
      </c>
    </row>
    <row r="12" spans="1:9" ht="12.75" customHeight="1" x14ac:dyDescent="0.3">
      <c r="A12" s="7" t="s">
        <v>15</v>
      </c>
      <c r="B12" s="7" t="s">
        <v>16</v>
      </c>
      <c r="C12" s="7"/>
      <c r="D12" s="12">
        <v>25</v>
      </c>
    </row>
    <row r="13" spans="1:9" ht="12.75" customHeight="1" x14ac:dyDescent="0.3">
      <c r="A13" s="7" t="s">
        <v>17</v>
      </c>
      <c r="B13" s="7" t="s">
        <v>18</v>
      </c>
      <c r="C13" s="7"/>
      <c r="D13" s="12">
        <v>1500</v>
      </c>
      <c r="E13" s="4"/>
    </row>
    <row r="14" spans="1:9" ht="12.75" customHeight="1" x14ac:dyDescent="0.3">
      <c r="A14" s="7" t="s">
        <v>19</v>
      </c>
      <c r="B14" s="7" t="s">
        <v>20</v>
      </c>
      <c r="C14" s="7"/>
      <c r="D14" s="12">
        <f>D15</f>
        <v>100</v>
      </c>
    </row>
    <row r="15" spans="1:9" ht="12.75" customHeight="1" x14ac:dyDescent="0.3">
      <c r="A15" s="7" t="s">
        <v>21</v>
      </c>
      <c r="B15" s="7" t="s">
        <v>22</v>
      </c>
      <c r="C15" s="7"/>
      <c r="D15" s="12">
        <v>100</v>
      </c>
    </row>
    <row r="16" spans="1:9" ht="12.75" customHeight="1" x14ac:dyDescent="0.3">
      <c r="A16" s="10" t="s">
        <v>23</v>
      </c>
      <c r="B16" s="10" t="s">
        <v>24</v>
      </c>
      <c r="C16" s="10"/>
      <c r="D16" s="11">
        <f>D17+D20+D23+D36</f>
        <v>32351.3</v>
      </c>
      <c r="G16" s="1"/>
      <c r="I16" s="13"/>
    </row>
    <row r="17" spans="1:10" ht="12.75" customHeight="1" x14ac:dyDescent="0.3">
      <c r="A17" s="15" t="s">
        <v>25</v>
      </c>
      <c r="B17" s="481" t="s">
        <v>26</v>
      </c>
      <c r="C17" s="482"/>
      <c r="D17" s="12">
        <f>D18+D19</f>
        <v>22199.1</v>
      </c>
    </row>
    <row r="18" spans="1:10" ht="24.6" customHeight="1" x14ac:dyDescent="0.3">
      <c r="A18" s="16" t="s">
        <v>27</v>
      </c>
      <c r="B18" s="15" t="s">
        <v>28</v>
      </c>
      <c r="C18" s="7"/>
      <c r="D18" s="12">
        <v>4928.3</v>
      </c>
      <c r="F18" s="1"/>
    </row>
    <row r="19" spans="1:10" ht="12.75" customHeight="1" x14ac:dyDescent="0.3">
      <c r="A19" s="7" t="s">
        <v>29</v>
      </c>
      <c r="B19" s="7" t="s">
        <v>30</v>
      </c>
      <c r="C19" s="7"/>
      <c r="D19" s="12">
        <v>17270.8</v>
      </c>
      <c r="F19" s="1"/>
    </row>
    <row r="20" spans="1:10" ht="12.75" customHeight="1" x14ac:dyDescent="0.3">
      <c r="A20" s="15" t="s">
        <v>31</v>
      </c>
      <c r="B20" s="15" t="s">
        <v>32</v>
      </c>
      <c r="C20" s="17"/>
      <c r="D20" s="18">
        <f>SUM(D21:D22)</f>
        <v>389.5</v>
      </c>
      <c r="F20" s="1"/>
    </row>
    <row r="21" spans="1:10" ht="24" customHeight="1" x14ac:dyDescent="0.3">
      <c r="A21" s="15" t="s">
        <v>33</v>
      </c>
      <c r="B21" s="15" t="s">
        <v>34</v>
      </c>
      <c r="C21" s="17"/>
      <c r="D21" s="18">
        <v>94.8</v>
      </c>
      <c r="F21" s="1"/>
    </row>
    <row r="22" spans="1:10" ht="12.75" customHeight="1" x14ac:dyDescent="0.3">
      <c r="A22" s="15" t="s">
        <v>35</v>
      </c>
      <c r="B22" s="15" t="s">
        <v>36</v>
      </c>
      <c r="C22" s="17"/>
      <c r="D22" s="18">
        <v>294.7</v>
      </c>
      <c r="F22" s="1"/>
    </row>
    <row r="23" spans="1:10" ht="12.75" customHeight="1" x14ac:dyDescent="0.3">
      <c r="A23" s="15" t="s">
        <v>37</v>
      </c>
      <c r="B23" s="15" t="s">
        <v>38</v>
      </c>
      <c r="C23" s="17"/>
      <c r="D23" s="18">
        <f>SUM(D24:D35)</f>
        <v>6190.9000000000005</v>
      </c>
      <c r="F23" s="1"/>
    </row>
    <row r="24" spans="1:10" ht="22.5" customHeight="1" x14ac:dyDescent="0.3">
      <c r="A24" s="16" t="s">
        <v>39</v>
      </c>
      <c r="B24" s="14" t="s">
        <v>40</v>
      </c>
      <c r="C24" s="15"/>
      <c r="D24" s="18">
        <v>3427.8</v>
      </c>
      <c r="F24" s="1"/>
    </row>
    <row r="25" spans="1:10" ht="12.75" customHeight="1" x14ac:dyDescent="0.3">
      <c r="A25" s="16" t="s">
        <v>41</v>
      </c>
      <c r="B25" s="15" t="s">
        <v>42</v>
      </c>
      <c r="C25" s="15"/>
      <c r="D25" s="18">
        <v>47.1</v>
      </c>
      <c r="F25" s="1"/>
    </row>
    <row r="26" spans="1:10" ht="24" customHeight="1" x14ac:dyDescent="0.3">
      <c r="A26" s="16" t="s">
        <v>43</v>
      </c>
      <c r="B26" s="15" t="s">
        <v>44</v>
      </c>
      <c r="C26" s="15"/>
      <c r="D26" s="18">
        <v>34.200000000000003</v>
      </c>
      <c r="H26" s="1"/>
      <c r="J26" s="15"/>
    </row>
    <row r="27" spans="1:10" ht="13.2" customHeight="1" x14ac:dyDescent="0.3">
      <c r="A27" s="16" t="s">
        <v>45</v>
      </c>
      <c r="B27" s="470" t="s">
        <v>46</v>
      </c>
      <c r="C27" s="469"/>
      <c r="D27" s="18">
        <v>269.89999999999998</v>
      </c>
      <c r="H27" s="1"/>
      <c r="J27" s="471"/>
    </row>
    <row r="28" spans="1:10" ht="22.8" customHeight="1" x14ac:dyDescent="0.3">
      <c r="A28" s="16" t="s">
        <v>47</v>
      </c>
      <c r="B28" s="19" t="s">
        <v>48</v>
      </c>
      <c r="C28" s="15"/>
      <c r="D28" s="18">
        <v>85</v>
      </c>
      <c r="H28" s="1"/>
    </row>
    <row r="29" spans="1:10" ht="34.5" customHeight="1" x14ac:dyDescent="0.3">
      <c r="A29" s="16" t="s">
        <v>49</v>
      </c>
      <c r="B29" s="19" t="s">
        <v>863</v>
      </c>
      <c r="C29" s="15"/>
      <c r="D29" s="18">
        <v>125.3</v>
      </c>
      <c r="H29" s="1"/>
    </row>
    <row r="30" spans="1:10" ht="24.6" customHeight="1" x14ac:dyDescent="0.3">
      <c r="A30" s="16" t="s">
        <v>50</v>
      </c>
      <c r="B30" s="325" t="s">
        <v>51</v>
      </c>
      <c r="C30" s="15"/>
      <c r="D30" s="18">
        <v>13.9</v>
      </c>
      <c r="H30" s="1"/>
    </row>
    <row r="31" spans="1:10" ht="11.4" customHeight="1" x14ac:dyDescent="0.3">
      <c r="A31" s="16" t="s">
        <v>52</v>
      </c>
      <c r="B31" s="20" t="s">
        <v>53</v>
      </c>
      <c r="C31" s="15"/>
      <c r="D31" s="18">
        <v>43</v>
      </c>
      <c r="H31" s="1"/>
    </row>
    <row r="32" spans="1:10" ht="23.4" customHeight="1" x14ac:dyDescent="0.3">
      <c r="A32" s="16" t="s">
        <v>54</v>
      </c>
      <c r="B32" s="432" t="s">
        <v>866</v>
      </c>
      <c r="C32" s="15"/>
      <c r="D32" s="18">
        <v>77.7</v>
      </c>
      <c r="H32" s="1"/>
    </row>
    <row r="33" spans="1:8" ht="12.75" customHeight="1" x14ac:dyDescent="0.3">
      <c r="A33" s="16" t="s">
        <v>55</v>
      </c>
      <c r="B33" s="432" t="s">
        <v>56</v>
      </c>
      <c r="C33" s="15"/>
      <c r="D33" s="18">
        <v>1732</v>
      </c>
      <c r="H33" s="1"/>
    </row>
    <row r="34" spans="1:8" ht="37.200000000000003" customHeight="1" x14ac:dyDescent="0.3">
      <c r="A34" s="16" t="s">
        <v>875</v>
      </c>
      <c r="B34" s="456" t="s">
        <v>59</v>
      </c>
      <c r="C34" s="455"/>
      <c r="D34" s="18">
        <v>124</v>
      </c>
      <c r="H34" s="1"/>
    </row>
    <row r="35" spans="1:8" ht="22.2" customHeight="1" x14ac:dyDescent="0.3">
      <c r="A35" s="16" t="s">
        <v>893</v>
      </c>
      <c r="B35" s="479" t="s">
        <v>894</v>
      </c>
      <c r="C35" s="455"/>
      <c r="D35" s="18">
        <v>211</v>
      </c>
      <c r="H35" s="1"/>
    </row>
    <row r="36" spans="1:8" ht="25.2" customHeight="1" x14ac:dyDescent="0.3">
      <c r="A36" s="16" t="s">
        <v>57</v>
      </c>
      <c r="B36" s="21" t="s">
        <v>58</v>
      </c>
      <c r="C36" s="15"/>
      <c r="D36" s="18">
        <v>3571.8</v>
      </c>
    </row>
    <row r="37" spans="1:8" ht="12.75" customHeight="1" x14ac:dyDescent="0.3">
      <c r="A37" s="10" t="s">
        <v>60</v>
      </c>
      <c r="B37" s="10" t="s">
        <v>61</v>
      </c>
      <c r="C37" s="10"/>
      <c r="D37" s="11">
        <f>D38+D39+D40+D41+D42</f>
        <v>530</v>
      </c>
      <c r="H37" s="1"/>
    </row>
    <row r="38" spans="1:8" ht="24" customHeight="1" x14ac:dyDescent="0.3">
      <c r="A38" s="22" t="s">
        <v>62</v>
      </c>
      <c r="B38" s="481" t="s">
        <v>63</v>
      </c>
      <c r="C38" s="481"/>
      <c r="D38" s="12">
        <v>230</v>
      </c>
    </row>
    <row r="39" spans="1:8" ht="12.75" customHeight="1" x14ac:dyDescent="0.3">
      <c r="A39" s="22" t="s">
        <v>64</v>
      </c>
      <c r="B39" s="15" t="s">
        <v>65</v>
      </c>
      <c r="C39" s="15"/>
      <c r="D39" s="12">
        <v>40</v>
      </c>
    </row>
    <row r="40" spans="1:8" ht="12.75" customHeight="1" x14ac:dyDescent="0.3">
      <c r="A40" s="22" t="s">
        <v>66</v>
      </c>
      <c r="B40" s="15" t="s">
        <v>67</v>
      </c>
      <c r="C40" s="15"/>
      <c r="D40" s="12">
        <v>180</v>
      </c>
    </row>
    <row r="41" spans="1:8" ht="12.75" customHeight="1" x14ac:dyDescent="0.3">
      <c r="A41" s="22" t="s">
        <v>68</v>
      </c>
      <c r="B41" s="15" t="s">
        <v>69</v>
      </c>
      <c r="C41" s="15"/>
      <c r="D41" s="12">
        <v>40</v>
      </c>
    </row>
    <row r="42" spans="1:8" ht="12.75" customHeight="1" x14ac:dyDescent="0.3">
      <c r="A42" s="22" t="s">
        <v>70</v>
      </c>
      <c r="B42" s="15" t="s">
        <v>71</v>
      </c>
      <c r="C42" s="15"/>
      <c r="D42" s="12">
        <v>40</v>
      </c>
    </row>
    <row r="43" spans="1:8" ht="12.75" customHeight="1" x14ac:dyDescent="0.3">
      <c r="A43" s="10" t="s">
        <v>72</v>
      </c>
      <c r="B43" s="10" t="s">
        <v>73</v>
      </c>
      <c r="C43" s="10"/>
      <c r="D43" s="11">
        <f>D44+D45+D46+D47+D48</f>
        <v>6018.6</v>
      </c>
    </row>
    <row r="44" spans="1:8" ht="12.75" customHeight="1" x14ac:dyDescent="0.3">
      <c r="A44" s="7" t="s">
        <v>74</v>
      </c>
      <c r="B44" s="7" t="s">
        <v>75</v>
      </c>
      <c r="C44" s="7"/>
      <c r="D44" s="18">
        <v>156.30000000000001</v>
      </c>
    </row>
    <row r="45" spans="1:8" ht="12.75" customHeight="1" x14ac:dyDescent="0.3">
      <c r="A45" s="7" t="s">
        <v>76</v>
      </c>
      <c r="B45" s="7" t="s">
        <v>73</v>
      </c>
      <c r="C45" s="7"/>
      <c r="D45" s="12">
        <v>1165.0999999999999</v>
      </c>
    </row>
    <row r="46" spans="1:8" ht="12.75" customHeight="1" x14ac:dyDescent="0.3">
      <c r="A46" s="22" t="s">
        <v>77</v>
      </c>
      <c r="B46" s="481" t="s">
        <v>78</v>
      </c>
      <c r="C46" s="481"/>
      <c r="D46" s="12">
        <v>1957.2</v>
      </c>
    </row>
    <row r="47" spans="1:8" ht="12.75" customHeight="1" x14ac:dyDescent="0.3">
      <c r="A47" s="22" t="s">
        <v>79</v>
      </c>
      <c r="B47" s="15" t="s">
        <v>80</v>
      </c>
      <c r="C47" s="15"/>
      <c r="D47" s="12">
        <v>160</v>
      </c>
    </row>
    <row r="48" spans="1:8" ht="12.75" customHeight="1" x14ac:dyDescent="0.3">
      <c r="A48" s="22" t="s">
        <v>81</v>
      </c>
      <c r="B48" s="15" t="s">
        <v>82</v>
      </c>
      <c r="C48" s="15"/>
      <c r="D48" s="12">
        <v>2580</v>
      </c>
    </row>
    <row r="49" spans="1:7" ht="12.75" customHeight="1" x14ac:dyDescent="0.3">
      <c r="A49" s="22" t="s">
        <v>83</v>
      </c>
      <c r="B49" s="23" t="s">
        <v>84</v>
      </c>
      <c r="C49" s="15"/>
      <c r="D49" s="12">
        <v>2500</v>
      </c>
    </row>
    <row r="50" spans="1:7" ht="12.75" customHeight="1" x14ac:dyDescent="0.3">
      <c r="A50" s="7" t="s">
        <v>85</v>
      </c>
      <c r="B50" s="7" t="s">
        <v>86</v>
      </c>
      <c r="C50" s="7"/>
      <c r="D50" s="12">
        <v>80</v>
      </c>
    </row>
    <row r="51" spans="1:7" ht="12.75" customHeight="1" x14ac:dyDescent="0.3">
      <c r="A51" s="7" t="s">
        <v>87</v>
      </c>
      <c r="B51" s="7" t="s">
        <v>88</v>
      </c>
      <c r="C51" s="7"/>
      <c r="D51" s="12">
        <v>250</v>
      </c>
    </row>
    <row r="52" spans="1:7" ht="12.75" customHeight="1" x14ac:dyDescent="0.3">
      <c r="A52" s="15" t="s">
        <v>89</v>
      </c>
      <c r="B52" s="483" t="s">
        <v>90</v>
      </c>
      <c r="C52" s="483"/>
      <c r="D52" s="12">
        <v>155</v>
      </c>
    </row>
    <row r="53" spans="1:7" ht="12.75" customHeight="1" x14ac:dyDescent="0.3">
      <c r="A53" s="15" t="s">
        <v>91</v>
      </c>
      <c r="B53" s="24" t="s">
        <v>92</v>
      </c>
      <c r="C53" s="24"/>
      <c r="D53" s="12">
        <v>140</v>
      </c>
    </row>
    <row r="54" spans="1:7" ht="12.75" customHeight="1" x14ac:dyDescent="0.3">
      <c r="A54" s="7" t="s">
        <v>93</v>
      </c>
      <c r="B54" s="10" t="s">
        <v>94</v>
      </c>
      <c r="C54" s="10"/>
      <c r="D54" s="11">
        <f>D8+D16+D37+D43+D50+D51+D52</f>
        <v>90402.900000000009</v>
      </c>
      <c r="G54" s="1"/>
    </row>
    <row r="55" spans="1:7" ht="12.75" customHeight="1" x14ac:dyDescent="0.3">
      <c r="A55" s="1"/>
      <c r="B55" s="25"/>
      <c r="C55" s="25"/>
      <c r="G55" s="1"/>
    </row>
    <row r="56" spans="1:7" ht="12.75" customHeight="1" x14ac:dyDescent="0.3">
      <c r="A56" s="25"/>
      <c r="B56" s="25" t="s">
        <v>95</v>
      </c>
      <c r="C56" s="25"/>
      <c r="G56" s="1"/>
    </row>
    <row r="57" spans="1:7" ht="12.75" customHeight="1" x14ac:dyDescent="0.3">
      <c r="A57" s="1"/>
      <c r="B57" s="1"/>
      <c r="C57" s="25"/>
      <c r="G57" s="1"/>
    </row>
    <row r="58" spans="1:7" ht="12.75" customHeight="1" x14ac:dyDescent="0.3">
      <c r="A58" s="1"/>
      <c r="B58" s="1"/>
      <c r="C58" s="25"/>
      <c r="G58" s="1"/>
    </row>
    <row r="59" spans="1:7" ht="12.75" customHeight="1" x14ac:dyDescent="0.3">
      <c r="A59" s="1"/>
      <c r="B59" s="1"/>
      <c r="C59" s="25"/>
      <c r="G59" s="1"/>
    </row>
    <row r="60" spans="1:7" ht="12.75" customHeight="1" x14ac:dyDescent="0.3">
      <c r="A60" s="1"/>
      <c r="B60" s="1"/>
      <c r="C60" s="25"/>
      <c r="G60" s="1"/>
    </row>
    <row r="61" spans="1:7" ht="12.75" customHeight="1" x14ac:dyDescent="0.3">
      <c r="A61" s="1"/>
      <c r="B61" s="25"/>
      <c r="C61" s="25"/>
      <c r="G61" s="1"/>
    </row>
    <row r="62" spans="1:7" ht="12.75" customHeight="1" x14ac:dyDescent="0.3">
      <c r="A62" s="25"/>
      <c r="C62" s="25"/>
      <c r="G62" s="1"/>
    </row>
    <row r="63" spans="1:7" ht="12.75" customHeight="1" x14ac:dyDescent="0.3">
      <c r="A63" s="1"/>
      <c r="B63" s="1"/>
      <c r="C63" s="25"/>
      <c r="G63" s="1"/>
    </row>
    <row r="64" spans="1:7" ht="12.75" customHeight="1" x14ac:dyDescent="0.3">
      <c r="A64" s="1"/>
      <c r="B64" s="1"/>
      <c r="C64" s="25"/>
      <c r="G64" s="1"/>
    </row>
    <row r="65" spans="1:9" ht="12.75" customHeight="1" x14ac:dyDescent="0.3">
      <c r="A65" s="1"/>
      <c r="B65" s="1"/>
      <c r="C65" s="25"/>
      <c r="G65" s="1"/>
    </row>
    <row r="66" spans="1:9" ht="12.75" customHeight="1" x14ac:dyDescent="0.3">
      <c r="A66" s="1"/>
      <c r="B66" s="1"/>
      <c r="C66" s="25"/>
      <c r="G66" s="1"/>
    </row>
    <row r="67" spans="1:9" ht="12.75" customHeight="1" x14ac:dyDescent="0.3">
      <c r="A67" s="1"/>
      <c r="B67" s="25"/>
      <c r="C67" s="25"/>
      <c r="G67" s="1"/>
    </row>
    <row r="68" spans="1:9" ht="12.75" customHeight="1" x14ac:dyDescent="0.3">
      <c r="A68" s="25"/>
      <c r="C68" s="25"/>
      <c r="G68" s="1"/>
    </row>
    <row r="69" spans="1:9" ht="12.75" customHeight="1" x14ac:dyDescent="0.3">
      <c r="A69" s="25"/>
      <c r="C69" s="25"/>
      <c r="G69" s="1"/>
    </row>
    <row r="70" spans="1:9" ht="12.75" customHeight="1" x14ac:dyDescent="0.3">
      <c r="A70" s="25"/>
      <c r="C70" s="25"/>
      <c r="G70" s="1"/>
    </row>
    <row r="71" spans="1:9" ht="12.75" customHeight="1" x14ac:dyDescent="0.3">
      <c r="A71" s="25"/>
      <c r="C71" s="25"/>
      <c r="G71" s="1"/>
    </row>
    <row r="72" spans="1:9" ht="12.75" customHeight="1" x14ac:dyDescent="0.3">
      <c r="A72" s="1"/>
      <c r="B72" s="25"/>
      <c r="C72" s="1"/>
      <c r="I72" s="1"/>
    </row>
    <row r="73" spans="1:9" ht="12.75" customHeight="1" x14ac:dyDescent="0.3">
      <c r="A73" s="1"/>
      <c r="B73" s="25"/>
      <c r="C73" s="25"/>
      <c r="G73" s="1"/>
    </row>
    <row r="74" spans="1:9" x14ac:dyDescent="0.3">
      <c r="A74" s="1"/>
      <c r="B74" s="1"/>
    </row>
    <row r="75" spans="1:9" x14ac:dyDescent="0.3">
      <c r="A75" s="1"/>
      <c r="B75" s="26"/>
    </row>
    <row r="76" spans="1:9" x14ac:dyDescent="0.3">
      <c r="A76" s="1"/>
    </row>
    <row r="77" spans="1:9" x14ac:dyDescent="0.3">
      <c r="A77" s="1"/>
      <c r="B77" s="1"/>
    </row>
    <row r="78" spans="1:9" x14ac:dyDescent="0.3">
      <c r="A78" s="1"/>
      <c r="B78" s="1"/>
      <c r="C78" s="25"/>
    </row>
    <row r="80" spans="1:9" x14ac:dyDescent="0.3">
      <c r="A80" s="1"/>
    </row>
  </sheetData>
  <mergeCells count="4">
    <mergeCell ref="B17:C17"/>
    <mergeCell ref="B38:C38"/>
    <mergeCell ref="B46:C46"/>
    <mergeCell ref="B52:C5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91D8A-5776-44C8-9DE3-8587E5425EBD}">
  <dimension ref="A1:D21"/>
  <sheetViews>
    <sheetView workbookViewId="0"/>
  </sheetViews>
  <sheetFormatPr defaultRowHeight="14.4" x14ac:dyDescent="0.3"/>
  <cols>
    <col min="1" max="1" width="8.33203125" customWidth="1"/>
    <col min="2" max="2" width="52.88671875" customWidth="1"/>
    <col min="3" max="3" width="26.5546875" customWidth="1"/>
  </cols>
  <sheetData>
    <row r="1" spans="1:4" x14ac:dyDescent="0.3">
      <c r="C1" t="s">
        <v>177</v>
      </c>
    </row>
    <row r="2" spans="1:4" x14ac:dyDescent="0.3">
      <c r="C2" s="1" t="s">
        <v>178</v>
      </c>
    </row>
    <row r="3" spans="1:4" x14ac:dyDescent="0.3">
      <c r="C3" s="1" t="s">
        <v>179</v>
      </c>
    </row>
    <row r="4" spans="1:4" x14ac:dyDescent="0.3">
      <c r="C4" s="91" t="s">
        <v>180</v>
      </c>
    </row>
    <row r="5" spans="1:4" x14ac:dyDescent="0.3">
      <c r="C5" s="91"/>
    </row>
    <row r="6" spans="1:4" ht="15.6" x14ac:dyDescent="0.3">
      <c r="A6" s="484" t="s">
        <v>181</v>
      </c>
      <c r="B6" s="484"/>
      <c r="C6" s="484"/>
      <c r="D6" s="92"/>
    </row>
    <row r="7" spans="1:4" ht="15.6" x14ac:dyDescent="0.3">
      <c r="A7" s="93"/>
      <c r="B7" s="93"/>
      <c r="C7" s="93"/>
      <c r="D7" s="92"/>
    </row>
    <row r="8" spans="1:4" x14ac:dyDescent="0.3">
      <c r="C8" s="3" t="s">
        <v>98</v>
      </c>
    </row>
    <row r="9" spans="1:4" x14ac:dyDescent="0.3">
      <c r="A9" s="94" t="s">
        <v>4</v>
      </c>
      <c r="B9" s="94" t="s">
        <v>182</v>
      </c>
      <c r="C9" s="94" t="s">
        <v>183</v>
      </c>
    </row>
    <row r="10" spans="1:4" x14ac:dyDescent="0.3">
      <c r="A10" s="95"/>
      <c r="C10" s="95"/>
    </row>
    <row r="11" spans="1:4" x14ac:dyDescent="0.3">
      <c r="A11" s="96" t="s">
        <v>7</v>
      </c>
      <c r="B11" s="25" t="s">
        <v>184</v>
      </c>
      <c r="C11" s="97">
        <f>SUM(C12:C17)</f>
        <v>9512.7000000000007</v>
      </c>
    </row>
    <row r="12" spans="1:4" x14ac:dyDescent="0.3">
      <c r="A12" s="98" t="s">
        <v>9</v>
      </c>
      <c r="B12" s="1" t="s">
        <v>185</v>
      </c>
      <c r="C12" s="99">
        <v>4284.3</v>
      </c>
    </row>
    <row r="13" spans="1:4" x14ac:dyDescent="0.3">
      <c r="A13" s="98" t="s">
        <v>11</v>
      </c>
      <c r="B13" s="1" t="s">
        <v>186</v>
      </c>
      <c r="C13" s="99">
        <v>3837.8</v>
      </c>
    </row>
    <row r="14" spans="1:4" ht="27" x14ac:dyDescent="0.3">
      <c r="A14" s="100" t="s">
        <v>19</v>
      </c>
      <c r="B14" s="101" t="s">
        <v>187</v>
      </c>
      <c r="C14" s="99">
        <v>88.7</v>
      </c>
    </row>
    <row r="15" spans="1:4" x14ac:dyDescent="0.3">
      <c r="A15" s="98" t="s">
        <v>188</v>
      </c>
      <c r="B15" s="1" t="s">
        <v>189</v>
      </c>
      <c r="C15" s="99">
        <v>61.2</v>
      </c>
    </row>
    <row r="16" spans="1:4" x14ac:dyDescent="0.3">
      <c r="A16" s="98" t="s">
        <v>190</v>
      </c>
      <c r="B16" s="1" t="s">
        <v>191</v>
      </c>
      <c r="C16" s="99">
        <v>836.9</v>
      </c>
    </row>
    <row r="17" spans="1:3" ht="27" x14ac:dyDescent="0.3">
      <c r="A17" s="100" t="s">
        <v>192</v>
      </c>
      <c r="B17" s="102" t="s">
        <v>193</v>
      </c>
      <c r="C17" s="99">
        <v>403.8</v>
      </c>
    </row>
    <row r="18" spans="1:3" x14ac:dyDescent="0.3">
      <c r="A18" s="103" t="s">
        <v>23</v>
      </c>
      <c r="B18" s="25" t="s">
        <v>194</v>
      </c>
      <c r="C18" s="104">
        <v>2200</v>
      </c>
    </row>
    <row r="19" spans="1:3" x14ac:dyDescent="0.3">
      <c r="A19" s="485" t="s">
        <v>100</v>
      </c>
      <c r="B19" s="486"/>
      <c r="C19" s="104">
        <f>C11+C18</f>
        <v>11712.7</v>
      </c>
    </row>
    <row r="21" spans="1:3" x14ac:dyDescent="0.3">
      <c r="B21" s="1" t="s">
        <v>195</v>
      </c>
    </row>
  </sheetData>
  <mergeCells count="2">
    <mergeCell ref="A6:C6"/>
    <mergeCell ref="A19:B1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45E91-10ED-4CF2-8C24-BE49133F7736}">
  <dimension ref="A1:N52"/>
  <sheetViews>
    <sheetView workbookViewId="0"/>
  </sheetViews>
  <sheetFormatPr defaultRowHeight="14.4" x14ac:dyDescent="0.3"/>
  <cols>
    <col min="1" max="1" width="5" customWidth="1"/>
    <col min="2" max="2" width="37.44140625" customWidth="1"/>
    <col min="3" max="3" width="7.88671875" customWidth="1"/>
    <col min="4" max="4" width="8.6640625" customWidth="1"/>
    <col min="5" max="5" width="12.109375" customWidth="1"/>
    <col min="6" max="6" width="10" customWidth="1"/>
    <col min="8" max="8" width="11.88671875" customWidth="1"/>
  </cols>
  <sheetData>
    <row r="1" spans="1:6" x14ac:dyDescent="0.3">
      <c r="A1" s="27"/>
      <c r="B1" s="27"/>
      <c r="C1" s="476" t="s">
        <v>0</v>
      </c>
      <c r="E1" s="476"/>
      <c r="F1" s="476"/>
    </row>
    <row r="2" spans="1:6" x14ac:dyDescent="0.3">
      <c r="A2" s="27"/>
      <c r="B2" s="27"/>
      <c r="C2" s="28" t="s">
        <v>1</v>
      </c>
      <c r="E2" s="28"/>
      <c r="F2" s="27"/>
    </row>
    <row r="3" spans="1:6" x14ac:dyDescent="0.3">
      <c r="A3" s="27"/>
      <c r="B3" s="27"/>
      <c r="C3" s="27"/>
      <c r="D3" s="27"/>
      <c r="E3" s="27"/>
      <c r="F3" s="29" t="s">
        <v>96</v>
      </c>
    </row>
    <row r="4" spans="1:6" ht="12.75" customHeight="1" x14ac:dyDescent="0.3">
      <c r="A4" s="487" t="s">
        <v>97</v>
      </c>
      <c r="B4" s="487"/>
      <c r="C4" s="487"/>
      <c r="D4" s="487"/>
      <c r="E4" s="487"/>
      <c r="F4" s="487"/>
    </row>
    <row r="5" spans="1:6" x14ac:dyDescent="0.3">
      <c r="A5" s="487"/>
      <c r="B5" s="487"/>
      <c r="C5" s="487"/>
      <c r="D5" s="487"/>
      <c r="E5" s="487"/>
      <c r="F5" s="487"/>
    </row>
    <row r="6" spans="1:6" x14ac:dyDescent="0.3">
      <c r="A6" s="488"/>
      <c r="B6" s="488"/>
      <c r="C6" s="488"/>
      <c r="D6" s="30"/>
      <c r="E6" s="31"/>
      <c r="F6" s="32" t="s">
        <v>98</v>
      </c>
    </row>
    <row r="7" spans="1:6" ht="61.2" x14ac:dyDescent="0.3">
      <c r="A7" s="33" t="s">
        <v>4</v>
      </c>
      <c r="B7" s="34" t="s">
        <v>99</v>
      </c>
      <c r="C7" s="35" t="s">
        <v>100</v>
      </c>
      <c r="D7" s="36" t="s">
        <v>73</v>
      </c>
      <c r="E7" s="36" t="s">
        <v>101</v>
      </c>
      <c r="F7" s="37" t="s">
        <v>75</v>
      </c>
    </row>
    <row r="8" spans="1:6" ht="12.75" customHeight="1" x14ac:dyDescent="0.3">
      <c r="A8" s="38">
        <v>1</v>
      </c>
      <c r="B8" s="39">
        <v>2</v>
      </c>
      <c r="C8" s="40">
        <v>3</v>
      </c>
      <c r="D8" s="41">
        <v>4</v>
      </c>
      <c r="E8" s="41">
        <v>5</v>
      </c>
      <c r="F8" s="41">
        <v>6</v>
      </c>
    </row>
    <row r="9" spans="1:6" ht="12.75" customHeight="1" x14ac:dyDescent="0.3">
      <c r="A9" s="42" t="s">
        <v>7</v>
      </c>
      <c r="B9" s="43" t="s">
        <v>102</v>
      </c>
      <c r="C9" s="44">
        <f t="shared" ref="C9:C49" si="0">D9+E9+F9</f>
        <v>77.5</v>
      </c>
      <c r="D9" s="44">
        <v>75</v>
      </c>
      <c r="E9" s="44"/>
      <c r="F9" s="45">
        <v>2.5</v>
      </c>
    </row>
    <row r="10" spans="1:6" ht="12.75" customHeight="1" x14ac:dyDescent="0.3">
      <c r="A10" s="42" t="s">
        <v>23</v>
      </c>
      <c r="B10" s="43" t="s">
        <v>103</v>
      </c>
      <c r="C10" s="44">
        <f t="shared" si="0"/>
        <v>39</v>
      </c>
      <c r="D10" s="44">
        <v>30</v>
      </c>
      <c r="E10" s="44">
        <v>7</v>
      </c>
      <c r="F10" s="46">
        <v>2</v>
      </c>
    </row>
    <row r="11" spans="1:6" ht="12.75" customHeight="1" x14ac:dyDescent="0.3">
      <c r="A11" s="42" t="s">
        <v>60</v>
      </c>
      <c r="B11" s="43" t="s">
        <v>104</v>
      </c>
      <c r="C11" s="44">
        <f t="shared" si="0"/>
        <v>85.4</v>
      </c>
      <c r="D11" s="44">
        <v>41.7</v>
      </c>
      <c r="E11" s="44">
        <v>43.5</v>
      </c>
      <c r="F11" s="45">
        <v>0.2</v>
      </c>
    </row>
    <row r="12" spans="1:6" ht="12.75" customHeight="1" x14ac:dyDescent="0.3">
      <c r="A12" s="42" t="s">
        <v>72</v>
      </c>
      <c r="B12" s="43" t="s">
        <v>105</v>
      </c>
      <c r="C12" s="44">
        <f t="shared" si="0"/>
        <v>27.400000000000002</v>
      </c>
      <c r="D12" s="44">
        <v>12.6</v>
      </c>
      <c r="E12" s="44">
        <v>14.5</v>
      </c>
      <c r="F12" s="45">
        <v>0.3</v>
      </c>
    </row>
    <row r="13" spans="1:6" ht="12.75" customHeight="1" x14ac:dyDescent="0.3">
      <c r="A13" s="42" t="s">
        <v>85</v>
      </c>
      <c r="B13" s="43" t="s">
        <v>106</v>
      </c>
      <c r="C13" s="44">
        <f t="shared" si="0"/>
        <v>47.2</v>
      </c>
      <c r="D13" s="44">
        <v>43.2</v>
      </c>
      <c r="E13" s="44"/>
      <c r="F13" s="45">
        <v>4</v>
      </c>
    </row>
    <row r="14" spans="1:6" ht="12.75" customHeight="1" x14ac:dyDescent="0.3">
      <c r="A14" s="42" t="s">
        <v>87</v>
      </c>
      <c r="B14" s="43" t="s">
        <v>107</v>
      </c>
      <c r="C14" s="44">
        <f t="shared" si="0"/>
        <v>135.89999999999998</v>
      </c>
      <c r="D14" s="44">
        <v>118.3</v>
      </c>
      <c r="E14" s="44">
        <v>9.6</v>
      </c>
      <c r="F14" s="46">
        <v>8</v>
      </c>
    </row>
    <row r="15" spans="1:6" ht="12.75" customHeight="1" x14ac:dyDescent="0.3">
      <c r="A15" s="42" t="s">
        <v>89</v>
      </c>
      <c r="B15" s="43" t="s">
        <v>108</v>
      </c>
      <c r="C15" s="44">
        <f t="shared" si="0"/>
        <v>31.5</v>
      </c>
      <c r="D15" s="44">
        <v>3</v>
      </c>
      <c r="E15" s="44">
        <v>27.5</v>
      </c>
      <c r="F15" s="45">
        <v>1</v>
      </c>
    </row>
    <row r="16" spans="1:6" ht="12.75" customHeight="1" x14ac:dyDescent="0.3">
      <c r="A16" s="42" t="s">
        <v>109</v>
      </c>
      <c r="B16" s="43" t="s">
        <v>110</v>
      </c>
      <c r="C16" s="44">
        <f t="shared" si="0"/>
        <v>5.9</v>
      </c>
      <c r="D16" s="44">
        <v>5.9</v>
      </c>
      <c r="E16" s="44"/>
      <c r="F16" s="45"/>
    </row>
    <row r="17" spans="1:10" ht="12.75" customHeight="1" x14ac:dyDescent="0.3">
      <c r="A17" s="42" t="s">
        <v>93</v>
      </c>
      <c r="B17" s="43" t="s">
        <v>111</v>
      </c>
      <c r="C17" s="44">
        <f t="shared" si="0"/>
        <v>80.5</v>
      </c>
      <c r="D17" s="44">
        <v>26.5</v>
      </c>
      <c r="E17" s="44">
        <v>51</v>
      </c>
      <c r="F17" s="46">
        <v>3</v>
      </c>
    </row>
    <row r="18" spans="1:10" ht="12.75" customHeight="1" x14ac:dyDescent="0.3">
      <c r="A18" s="47" t="s">
        <v>112</v>
      </c>
      <c r="B18" s="43" t="s">
        <v>113</v>
      </c>
      <c r="C18" s="44">
        <f t="shared" si="0"/>
        <v>30.7</v>
      </c>
      <c r="D18" s="44">
        <v>24</v>
      </c>
      <c r="E18" s="44">
        <v>0.7</v>
      </c>
      <c r="F18" s="46">
        <v>6</v>
      </c>
    </row>
    <row r="19" spans="1:10" ht="12.75" customHeight="1" x14ac:dyDescent="0.3">
      <c r="A19" s="42" t="s">
        <v>114</v>
      </c>
      <c r="B19" s="43" t="s">
        <v>115</v>
      </c>
      <c r="C19" s="44">
        <f t="shared" si="0"/>
        <v>65.5</v>
      </c>
      <c r="D19" s="44">
        <v>16</v>
      </c>
      <c r="E19" s="44">
        <v>48.2</v>
      </c>
      <c r="F19" s="46">
        <v>1.3</v>
      </c>
    </row>
    <row r="20" spans="1:10" ht="12.75" customHeight="1" x14ac:dyDescent="0.3">
      <c r="A20" s="42" t="s">
        <v>116</v>
      </c>
      <c r="B20" s="43" t="s">
        <v>117</v>
      </c>
      <c r="C20" s="44">
        <f t="shared" si="0"/>
        <v>15.3</v>
      </c>
      <c r="D20" s="44">
        <v>7.8</v>
      </c>
      <c r="E20" s="44">
        <v>7.5</v>
      </c>
      <c r="F20" s="45"/>
    </row>
    <row r="21" spans="1:10" ht="12.75" customHeight="1" x14ac:dyDescent="0.3">
      <c r="A21" s="42" t="s">
        <v>118</v>
      </c>
      <c r="B21" s="43" t="s">
        <v>119</v>
      </c>
      <c r="C21" s="44">
        <f t="shared" si="0"/>
        <v>35.9</v>
      </c>
      <c r="D21" s="44">
        <v>12.7</v>
      </c>
      <c r="E21" s="44">
        <v>23.2</v>
      </c>
      <c r="F21" s="45"/>
    </row>
    <row r="22" spans="1:10" ht="12.75" customHeight="1" x14ac:dyDescent="0.3">
      <c r="A22" s="47" t="s">
        <v>120</v>
      </c>
      <c r="B22" s="43" t="s">
        <v>121</v>
      </c>
      <c r="C22" s="44">
        <f t="shared" si="0"/>
        <v>87.600000000000009</v>
      </c>
      <c r="D22" s="44">
        <v>31.5</v>
      </c>
      <c r="E22" s="44">
        <v>53.4</v>
      </c>
      <c r="F22" s="45">
        <v>2.7</v>
      </c>
    </row>
    <row r="23" spans="1:10" ht="12.75" customHeight="1" x14ac:dyDescent="0.3">
      <c r="A23" s="42" t="s">
        <v>122</v>
      </c>
      <c r="B23" s="43" t="s">
        <v>123</v>
      </c>
      <c r="C23" s="44">
        <f t="shared" si="0"/>
        <v>52</v>
      </c>
      <c r="D23" s="44">
        <v>12</v>
      </c>
      <c r="E23" s="44">
        <v>40</v>
      </c>
      <c r="F23" s="45"/>
    </row>
    <row r="24" spans="1:10" ht="12.75" customHeight="1" x14ac:dyDescent="0.3">
      <c r="A24" s="48" t="s">
        <v>124</v>
      </c>
      <c r="B24" s="43" t="s">
        <v>125</v>
      </c>
      <c r="C24" s="44">
        <f t="shared" si="0"/>
        <v>76.900000000000006</v>
      </c>
      <c r="D24" s="44"/>
      <c r="E24" s="44">
        <v>76.900000000000006</v>
      </c>
      <c r="F24" s="45"/>
    </row>
    <row r="25" spans="1:10" ht="12.75" customHeight="1" x14ac:dyDescent="0.3">
      <c r="A25" s="48" t="s">
        <v>126</v>
      </c>
      <c r="B25" s="43" t="s">
        <v>127</v>
      </c>
      <c r="C25" s="44">
        <f t="shared" si="0"/>
        <v>98.2</v>
      </c>
      <c r="D25" s="44"/>
      <c r="E25" s="44">
        <v>98.2</v>
      </c>
      <c r="F25" s="45"/>
    </row>
    <row r="26" spans="1:10" ht="12.75" customHeight="1" x14ac:dyDescent="0.3">
      <c r="A26" s="48" t="s">
        <v>128</v>
      </c>
      <c r="B26" s="43" t="s">
        <v>129</v>
      </c>
      <c r="C26" s="44">
        <f t="shared" si="0"/>
        <v>88.1</v>
      </c>
      <c r="D26" s="44"/>
      <c r="E26" s="44">
        <v>88.1</v>
      </c>
      <c r="F26" s="45"/>
    </row>
    <row r="27" spans="1:10" ht="12.75" customHeight="1" x14ac:dyDescent="0.3">
      <c r="A27" s="48" t="s">
        <v>130</v>
      </c>
      <c r="B27" s="43" t="s">
        <v>131</v>
      </c>
      <c r="C27" s="44">
        <f t="shared" si="0"/>
        <v>90.7</v>
      </c>
      <c r="D27" s="44"/>
      <c r="E27" s="44">
        <v>90.7</v>
      </c>
      <c r="F27" s="46"/>
    </row>
    <row r="28" spans="1:10" ht="12.75" customHeight="1" x14ac:dyDescent="0.3">
      <c r="A28" s="48" t="s">
        <v>132</v>
      </c>
      <c r="B28" s="43" t="s">
        <v>133</v>
      </c>
      <c r="C28" s="44">
        <f t="shared" si="0"/>
        <v>105.4</v>
      </c>
      <c r="D28" s="44"/>
      <c r="E28" s="44">
        <v>105.4</v>
      </c>
      <c r="F28" s="45"/>
    </row>
    <row r="29" spans="1:10" ht="12.75" customHeight="1" x14ac:dyDescent="0.3">
      <c r="A29" s="48" t="s">
        <v>134</v>
      </c>
      <c r="B29" s="43" t="s">
        <v>135</v>
      </c>
      <c r="C29" s="44">
        <f t="shared" si="0"/>
        <v>67.7</v>
      </c>
      <c r="D29" s="44"/>
      <c r="E29" s="44">
        <v>67.7</v>
      </c>
      <c r="F29" s="45"/>
    </row>
    <row r="30" spans="1:10" ht="12.75" customHeight="1" x14ac:dyDescent="0.3">
      <c r="A30" s="48" t="s">
        <v>136</v>
      </c>
      <c r="B30" s="43" t="s">
        <v>137</v>
      </c>
      <c r="C30" s="44">
        <f t="shared" si="0"/>
        <v>16.399999999999999</v>
      </c>
      <c r="D30" s="44"/>
      <c r="E30" s="44">
        <v>14.4</v>
      </c>
      <c r="F30" s="46">
        <v>2</v>
      </c>
    </row>
    <row r="31" spans="1:10" ht="12.75" customHeight="1" x14ac:dyDescent="0.3">
      <c r="A31" s="48" t="s">
        <v>138</v>
      </c>
      <c r="B31" s="43" t="s">
        <v>139</v>
      </c>
      <c r="C31" s="44">
        <f t="shared" si="0"/>
        <v>103.3</v>
      </c>
      <c r="D31" s="44">
        <v>103.3</v>
      </c>
      <c r="E31" s="44"/>
      <c r="F31" s="45"/>
      <c r="G31" s="49"/>
      <c r="H31" s="49"/>
      <c r="J31" s="49"/>
    </row>
    <row r="32" spans="1:10" ht="12.75" customHeight="1" x14ac:dyDescent="0.3">
      <c r="A32" s="48" t="s">
        <v>140</v>
      </c>
      <c r="B32" s="43" t="s">
        <v>141</v>
      </c>
      <c r="C32" s="44">
        <f t="shared" si="0"/>
        <v>0.89999999999999991</v>
      </c>
      <c r="D32" s="45">
        <v>0.6</v>
      </c>
      <c r="E32" s="44"/>
      <c r="F32" s="45">
        <v>0.3</v>
      </c>
      <c r="G32" s="49"/>
      <c r="H32" s="49"/>
      <c r="I32" s="26"/>
      <c r="J32" s="49"/>
    </row>
    <row r="33" spans="1:11" ht="12.75" customHeight="1" x14ac:dyDescent="0.3">
      <c r="A33" s="48" t="s">
        <v>142</v>
      </c>
      <c r="B33" s="50" t="s">
        <v>143</v>
      </c>
      <c r="C33" s="44">
        <f t="shared" si="0"/>
        <v>100</v>
      </c>
      <c r="D33" s="44">
        <v>100</v>
      </c>
      <c r="E33" s="51"/>
      <c r="F33" s="45"/>
    </row>
    <row r="34" spans="1:11" ht="24" x14ac:dyDescent="0.3">
      <c r="A34" s="52" t="s">
        <v>144</v>
      </c>
      <c r="B34" s="53" t="s">
        <v>145</v>
      </c>
      <c r="C34" s="44">
        <f t="shared" si="0"/>
        <v>2</v>
      </c>
      <c r="D34" s="44">
        <v>2</v>
      </c>
      <c r="E34" s="51"/>
      <c r="F34" s="45"/>
    </row>
    <row r="35" spans="1:11" ht="12.75" customHeight="1" x14ac:dyDescent="0.3">
      <c r="A35" s="48" t="s">
        <v>146</v>
      </c>
      <c r="B35" s="43" t="s">
        <v>147</v>
      </c>
      <c r="C35" s="44">
        <f t="shared" si="0"/>
        <v>27.4</v>
      </c>
      <c r="D35" s="44">
        <v>27.4</v>
      </c>
      <c r="E35" s="51"/>
      <c r="F35" s="45"/>
      <c r="H35" s="49"/>
      <c r="I35" s="1"/>
    </row>
    <row r="36" spans="1:11" ht="12.75" customHeight="1" x14ac:dyDescent="0.3">
      <c r="A36" s="48" t="s">
        <v>148</v>
      </c>
      <c r="B36" s="43" t="s">
        <v>149</v>
      </c>
      <c r="C36" s="44">
        <f t="shared" si="0"/>
        <v>75.3</v>
      </c>
      <c r="D36" s="44">
        <v>75.3</v>
      </c>
      <c r="E36" s="51"/>
      <c r="F36" s="45"/>
      <c r="G36" s="49"/>
      <c r="H36" s="49"/>
      <c r="I36" s="49"/>
      <c r="J36" s="49"/>
      <c r="K36" s="49"/>
    </row>
    <row r="37" spans="1:11" ht="12.75" customHeight="1" x14ac:dyDescent="0.3">
      <c r="A37" s="48" t="s">
        <v>150</v>
      </c>
      <c r="B37" s="50" t="s">
        <v>151</v>
      </c>
      <c r="C37" s="44">
        <f t="shared" si="0"/>
        <v>30</v>
      </c>
      <c r="D37" s="44">
        <v>30</v>
      </c>
      <c r="E37" s="51"/>
      <c r="F37" s="45"/>
    </row>
    <row r="38" spans="1:11" ht="12.75" customHeight="1" x14ac:dyDescent="0.3">
      <c r="A38" s="48" t="s">
        <v>152</v>
      </c>
      <c r="B38" s="43" t="s">
        <v>153</v>
      </c>
      <c r="C38" s="44">
        <f t="shared" si="0"/>
        <v>1078</v>
      </c>
      <c r="D38" s="44"/>
      <c r="E38" s="44">
        <v>1077.7</v>
      </c>
      <c r="F38" s="45">
        <v>0.3</v>
      </c>
    </row>
    <row r="39" spans="1:11" ht="12.75" customHeight="1" x14ac:dyDescent="0.3">
      <c r="A39" s="48" t="s">
        <v>154</v>
      </c>
      <c r="B39" s="43" t="s">
        <v>155</v>
      </c>
      <c r="C39" s="44">
        <f t="shared" si="0"/>
        <v>3</v>
      </c>
      <c r="D39" s="44">
        <v>1</v>
      </c>
      <c r="E39" s="44"/>
      <c r="F39" s="45">
        <v>2</v>
      </c>
    </row>
    <row r="40" spans="1:11" ht="12.75" customHeight="1" x14ac:dyDescent="0.3">
      <c r="A40" s="48" t="s">
        <v>156</v>
      </c>
      <c r="B40" s="43" t="s">
        <v>157</v>
      </c>
      <c r="C40" s="44">
        <f t="shared" si="0"/>
        <v>20</v>
      </c>
      <c r="D40" s="44">
        <v>20</v>
      </c>
      <c r="E40" s="44"/>
      <c r="F40" s="45"/>
    </row>
    <row r="41" spans="1:11" ht="12.75" customHeight="1" x14ac:dyDescent="0.3">
      <c r="A41" s="48" t="s">
        <v>158</v>
      </c>
      <c r="B41" s="43" t="s">
        <v>159</v>
      </c>
      <c r="C41" s="44">
        <f t="shared" si="0"/>
        <v>291.10000000000002</v>
      </c>
      <c r="D41" s="44">
        <v>281.60000000000002</v>
      </c>
      <c r="E41" s="44"/>
      <c r="F41" s="45">
        <v>9.5</v>
      </c>
      <c r="I41" s="1"/>
    </row>
    <row r="42" spans="1:11" ht="12.75" customHeight="1" x14ac:dyDescent="0.3">
      <c r="A42" s="48" t="s">
        <v>160</v>
      </c>
      <c r="B42" s="43" t="s">
        <v>161</v>
      </c>
      <c r="C42" s="44">
        <f t="shared" si="0"/>
        <v>2</v>
      </c>
      <c r="D42" s="44">
        <v>2</v>
      </c>
      <c r="E42" s="44"/>
      <c r="F42" s="45"/>
    </row>
    <row r="43" spans="1:11" ht="12.75" customHeight="1" x14ac:dyDescent="0.3">
      <c r="A43" s="48" t="s">
        <v>162</v>
      </c>
      <c r="B43" s="43" t="s">
        <v>163</v>
      </c>
      <c r="C43" s="44">
        <f t="shared" si="0"/>
        <v>0.8</v>
      </c>
      <c r="D43" s="44">
        <v>0.4</v>
      </c>
      <c r="E43" s="44"/>
      <c r="F43" s="45">
        <v>0.4</v>
      </c>
      <c r="H43" s="49"/>
    </row>
    <row r="44" spans="1:11" ht="12.75" customHeight="1" x14ac:dyDescent="0.3">
      <c r="A44" s="48" t="s">
        <v>164</v>
      </c>
      <c r="B44" s="43" t="s">
        <v>165</v>
      </c>
      <c r="C44" s="44">
        <f t="shared" si="0"/>
        <v>5</v>
      </c>
      <c r="D44" s="44">
        <v>3</v>
      </c>
      <c r="E44" s="44"/>
      <c r="F44" s="46">
        <v>2</v>
      </c>
      <c r="G44" s="49"/>
      <c r="I44" s="49"/>
      <c r="J44" s="49"/>
      <c r="K44" s="49"/>
    </row>
    <row r="45" spans="1:11" ht="12.75" customHeight="1" x14ac:dyDescent="0.3">
      <c r="A45" s="48" t="s">
        <v>166</v>
      </c>
      <c r="B45" s="43" t="s">
        <v>167</v>
      </c>
      <c r="C45" s="54">
        <f t="shared" si="0"/>
        <v>15</v>
      </c>
      <c r="D45" s="44">
        <v>14.5</v>
      </c>
      <c r="E45" s="44"/>
      <c r="F45" s="46">
        <v>0.5</v>
      </c>
    </row>
    <row r="46" spans="1:11" ht="12.75" customHeight="1" x14ac:dyDescent="0.3">
      <c r="A46" s="48" t="s">
        <v>168</v>
      </c>
      <c r="B46" s="43" t="s">
        <v>169</v>
      </c>
      <c r="C46" s="44">
        <f t="shared" si="0"/>
        <v>5</v>
      </c>
      <c r="D46" s="44">
        <v>3.8</v>
      </c>
      <c r="E46" s="44"/>
      <c r="F46" s="46">
        <v>1.2</v>
      </c>
    </row>
    <row r="47" spans="1:11" ht="12.75" customHeight="1" x14ac:dyDescent="0.3">
      <c r="A47" s="48" t="s">
        <v>170</v>
      </c>
      <c r="B47" s="43" t="s">
        <v>171</v>
      </c>
      <c r="C47" s="44">
        <f t="shared" si="0"/>
        <v>60</v>
      </c>
      <c r="D47" s="44">
        <v>32</v>
      </c>
      <c r="E47" s="44">
        <v>12</v>
      </c>
      <c r="F47" s="46">
        <v>16</v>
      </c>
    </row>
    <row r="48" spans="1:11" ht="12.75" customHeight="1" x14ac:dyDescent="0.3">
      <c r="A48" s="48" t="s">
        <v>172</v>
      </c>
      <c r="B48" s="43" t="s">
        <v>173</v>
      </c>
      <c r="C48" s="44">
        <f t="shared" si="0"/>
        <v>3</v>
      </c>
      <c r="D48" s="44">
        <v>3</v>
      </c>
      <c r="E48" s="44"/>
      <c r="F48" s="45"/>
    </row>
    <row r="49" spans="1:14" ht="12.75" customHeight="1" x14ac:dyDescent="0.3">
      <c r="A49" s="48" t="s">
        <v>174</v>
      </c>
      <c r="B49" s="43" t="s">
        <v>175</v>
      </c>
      <c r="C49" s="44">
        <f t="shared" si="0"/>
        <v>96.1</v>
      </c>
      <c r="D49" s="44">
        <v>5</v>
      </c>
      <c r="E49" s="44"/>
      <c r="F49" s="45">
        <v>91.1</v>
      </c>
      <c r="H49" s="1"/>
      <c r="I49" s="1"/>
      <c r="J49" s="1"/>
      <c r="L49" s="1"/>
      <c r="N49" s="1"/>
    </row>
    <row r="50" spans="1:14" x14ac:dyDescent="0.3">
      <c r="A50" s="48"/>
      <c r="B50" s="55" t="s">
        <v>176</v>
      </c>
      <c r="C50" s="44">
        <f t="shared" ref="C50:F50" si="1">SUM(C9:C49)</f>
        <v>3278.6000000000004</v>
      </c>
      <c r="D50" s="44">
        <f t="shared" si="1"/>
        <v>1165.1000000000001</v>
      </c>
      <c r="E50" s="44">
        <f t="shared" si="1"/>
        <v>1957.2</v>
      </c>
      <c r="F50" s="44">
        <f t="shared" si="1"/>
        <v>156.29999999999998</v>
      </c>
      <c r="G50" s="56"/>
    </row>
    <row r="52" spans="1:14" x14ac:dyDescent="0.3">
      <c r="C52" s="57"/>
      <c r="D52" s="57"/>
    </row>
  </sheetData>
  <mergeCells count="2">
    <mergeCell ref="A4:F5"/>
    <mergeCell ref="A6:C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F6A59-0BBC-4D65-99C3-C57D0B66772C}">
  <sheetPr>
    <pageSetUpPr fitToPage="1"/>
  </sheetPr>
  <dimension ref="A1:AB13"/>
  <sheetViews>
    <sheetView workbookViewId="0"/>
  </sheetViews>
  <sheetFormatPr defaultColWidth="9.109375" defaultRowHeight="12" x14ac:dyDescent="0.25"/>
  <cols>
    <col min="1" max="1" width="9.6640625" style="58" customWidth="1"/>
    <col min="2" max="3" width="3.88671875" style="58" customWidth="1"/>
    <col min="4" max="4" width="3.44140625" style="58" customWidth="1"/>
    <col min="5" max="5" width="4.44140625" style="58" customWidth="1"/>
    <col min="6" max="7" width="4.33203125" style="58" customWidth="1"/>
    <col min="8" max="8" width="4.88671875" style="58" customWidth="1"/>
    <col min="9" max="9" width="4.44140625" style="58" customWidth="1"/>
    <col min="10" max="10" width="4.88671875" style="58" customWidth="1"/>
    <col min="11" max="11" width="4.33203125" style="58" customWidth="1"/>
    <col min="12" max="12" width="4.109375" style="58" customWidth="1"/>
    <col min="13" max="13" width="4.33203125" style="58" customWidth="1"/>
    <col min="14" max="14" width="3.44140625" style="58" customWidth="1"/>
    <col min="15" max="15" width="3.88671875" style="58" customWidth="1"/>
    <col min="16" max="16" width="3.44140625" style="58" customWidth="1"/>
    <col min="17" max="17" width="4.6640625" style="58" customWidth="1"/>
    <col min="18" max="18" width="5.88671875" style="58" customWidth="1"/>
    <col min="19" max="19" width="4.6640625" style="58" customWidth="1"/>
    <col min="20" max="20" width="6.109375" style="58" customWidth="1"/>
    <col min="21" max="21" width="4.109375" style="58" customWidth="1"/>
    <col min="22" max="22" width="3.6640625" style="58" customWidth="1"/>
    <col min="23" max="23" width="4.44140625" style="58" customWidth="1"/>
    <col min="24" max="24" width="5.33203125" style="58" customWidth="1"/>
    <col min="25" max="25" width="6.6640625" style="58" customWidth="1"/>
    <col min="26" max="26" width="6.33203125" style="58" customWidth="1"/>
    <col min="27" max="16384" width="9.109375" style="58"/>
  </cols>
  <sheetData>
    <row r="1" spans="1:28" ht="12.75" customHeight="1" x14ac:dyDescent="0.25">
      <c r="F1" s="59"/>
      <c r="P1" s="60"/>
      <c r="Q1" s="60"/>
      <c r="S1" s="60" t="s">
        <v>0</v>
      </c>
      <c r="T1" s="60"/>
      <c r="U1" s="60"/>
      <c r="V1" s="60"/>
      <c r="W1" s="60"/>
      <c r="X1" s="60"/>
      <c r="Y1" s="60"/>
      <c r="Z1" s="60"/>
    </row>
    <row r="2" spans="1:28" ht="12.75" customHeight="1" x14ac:dyDescent="0.25">
      <c r="F2" s="59"/>
      <c r="G2" s="59"/>
      <c r="H2" s="59"/>
      <c r="I2" s="59"/>
      <c r="J2" s="61"/>
      <c r="P2" s="60"/>
      <c r="Q2" s="60"/>
      <c r="S2" s="60" t="s">
        <v>1</v>
      </c>
      <c r="T2" s="60"/>
      <c r="U2" s="60"/>
      <c r="V2" s="60"/>
      <c r="W2" s="60"/>
      <c r="X2" s="60"/>
      <c r="Z2" s="60"/>
    </row>
    <row r="3" spans="1:28" ht="12.75" customHeight="1" x14ac:dyDescent="0.25">
      <c r="F3" s="61"/>
      <c r="G3" s="61"/>
      <c r="H3" s="61"/>
      <c r="I3" s="61"/>
      <c r="J3" s="61"/>
      <c r="P3" s="60"/>
      <c r="Q3" s="60"/>
      <c r="T3" s="1"/>
      <c r="V3" s="62"/>
      <c r="W3" s="62"/>
      <c r="X3" s="489" t="s">
        <v>196</v>
      </c>
      <c r="Y3" s="489"/>
      <c r="Z3" s="62"/>
    </row>
    <row r="4" spans="1:28" x14ac:dyDescent="0.25">
      <c r="A4" s="490" t="s">
        <v>197</v>
      </c>
      <c r="B4" s="490"/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  <c r="W4" s="490"/>
      <c r="X4" s="490"/>
      <c r="Y4" s="490"/>
      <c r="Z4" s="490"/>
    </row>
    <row r="5" spans="1:28" x14ac:dyDescent="0.25">
      <c r="A5" s="490"/>
      <c r="B5" s="490"/>
      <c r="C5" s="490"/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0"/>
      <c r="Q5" s="490"/>
      <c r="R5" s="490"/>
      <c r="S5" s="490"/>
      <c r="T5" s="490"/>
      <c r="U5" s="490"/>
      <c r="V5" s="490"/>
      <c r="W5" s="490"/>
      <c r="X5" s="490"/>
      <c r="Y5" s="490"/>
      <c r="Z5" s="490"/>
    </row>
    <row r="6" spans="1:28" ht="13.2" x14ac:dyDescent="0.25">
      <c r="Z6" s="63" t="s">
        <v>98</v>
      </c>
    </row>
    <row r="7" spans="1:28" ht="188.25" customHeight="1" x14ac:dyDescent="0.25">
      <c r="A7" s="64" t="s">
        <v>99</v>
      </c>
      <c r="B7" s="65" t="s">
        <v>198</v>
      </c>
      <c r="C7" s="65" t="s">
        <v>199</v>
      </c>
      <c r="D7" s="65" t="s">
        <v>200</v>
      </c>
      <c r="E7" s="65" t="s">
        <v>201</v>
      </c>
      <c r="F7" s="65" t="s">
        <v>202</v>
      </c>
      <c r="G7" s="65" t="s">
        <v>203</v>
      </c>
      <c r="H7" s="65" t="s">
        <v>204</v>
      </c>
      <c r="I7" s="65" t="s">
        <v>205</v>
      </c>
      <c r="J7" s="65" t="s">
        <v>206</v>
      </c>
      <c r="K7" s="65" t="s">
        <v>207</v>
      </c>
      <c r="L7" s="65" t="s">
        <v>208</v>
      </c>
      <c r="M7" s="65" t="s">
        <v>209</v>
      </c>
      <c r="N7" s="65" t="s">
        <v>210</v>
      </c>
      <c r="O7" s="65" t="s">
        <v>211</v>
      </c>
      <c r="P7" s="65" t="s">
        <v>212</v>
      </c>
      <c r="Q7" s="66" t="s">
        <v>213</v>
      </c>
      <c r="R7" s="66" t="s">
        <v>214</v>
      </c>
      <c r="S7" s="66" t="s">
        <v>215</v>
      </c>
      <c r="T7" s="65" t="s">
        <v>216</v>
      </c>
      <c r="U7" s="65" t="s">
        <v>217</v>
      </c>
      <c r="V7" s="65" t="s">
        <v>218</v>
      </c>
      <c r="W7" s="65" t="s">
        <v>219</v>
      </c>
      <c r="X7" s="65" t="s">
        <v>220</v>
      </c>
      <c r="Y7" s="65" t="s">
        <v>221</v>
      </c>
      <c r="Z7" s="64" t="s">
        <v>100</v>
      </c>
    </row>
    <row r="8" spans="1:28" ht="27" customHeight="1" x14ac:dyDescent="0.25">
      <c r="A8" s="67" t="s">
        <v>222</v>
      </c>
      <c r="B8" s="68">
        <v>1</v>
      </c>
      <c r="C8" s="68">
        <v>33.1</v>
      </c>
      <c r="D8" s="69">
        <v>43.3</v>
      </c>
      <c r="E8" s="69"/>
      <c r="F8" s="68">
        <v>236</v>
      </c>
      <c r="G8" s="69">
        <v>8.5</v>
      </c>
      <c r="H8" s="68">
        <v>202</v>
      </c>
      <c r="I8" s="68">
        <v>455</v>
      </c>
      <c r="J8" s="70">
        <v>0.17399999999999999</v>
      </c>
      <c r="K8" s="69">
        <v>17.399999999999999</v>
      </c>
      <c r="L8" s="69">
        <v>31.5</v>
      </c>
      <c r="M8" s="68">
        <v>27.2</v>
      </c>
      <c r="N8" s="68">
        <v>9.8000000000000007</v>
      </c>
      <c r="O8" s="68">
        <v>8.9</v>
      </c>
      <c r="P8" s="71">
        <v>0.4</v>
      </c>
      <c r="Q8" s="72">
        <v>820.3</v>
      </c>
      <c r="R8" s="72">
        <v>932</v>
      </c>
      <c r="S8" s="73"/>
      <c r="T8" s="69"/>
      <c r="U8" s="69">
        <v>9.1</v>
      </c>
      <c r="V8" s="68">
        <v>6</v>
      </c>
      <c r="W8" s="69">
        <v>54.8</v>
      </c>
      <c r="X8" s="70">
        <v>81.025000000000006</v>
      </c>
      <c r="Y8" s="68">
        <v>21</v>
      </c>
      <c r="Z8" s="74">
        <f>SUM(B8:Y8)</f>
        <v>2998.4990000000003</v>
      </c>
    </row>
    <row r="9" spans="1:28" ht="36.75" customHeight="1" x14ac:dyDescent="0.25">
      <c r="A9" s="75" t="s">
        <v>223</v>
      </c>
      <c r="B9" s="76"/>
      <c r="C9" s="76"/>
      <c r="D9" s="76"/>
      <c r="E9" s="76">
        <v>798.6</v>
      </c>
      <c r="F9" s="77"/>
      <c r="G9" s="77"/>
      <c r="H9" s="78"/>
      <c r="I9" s="77"/>
      <c r="J9" s="77"/>
      <c r="K9" s="78"/>
      <c r="L9" s="77"/>
      <c r="M9" s="77"/>
      <c r="N9" s="77"/>
      <c r="O9" s="78"/>
      <c r="P9" s="79"/>
      <c r="Q9" s="77"/>
      <c r="R9" s="77"/>
      <c r="S9" s="77"/>
      <c r="T9" s="77"/>
      <c r="U9" s="77"/>
      <c r="V9" s="80"/>
      <c r="W9" s="77"/>
      <c r="X9" s="77"/>
      <c r="Y9" s="77"/>
      <c r="Z9" s="72">
        <f>SUM(B9:Y9)</f>
        <v>798.6</v>
      </c>
    </row>
    <row r="10" spans="1:28" ht="42.75" customHeight="1" x14ac:dyDescent="0.25">
      <c r="A10" s="81" t="s">
        <v>145</v>
      </c>
      <c r="B10" s="82"/>
      <c r="C10" s="83"/>
      <c r="D10" s="83"/>
      <c r="E10" s="82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4"/>
      <c r="Q10" s="83"/>
      <c r="R10" s="83"/>
      <c r="S10" s="82">
        <v>545.29999999999995</v>
      </c>
      <c r="T10" s="82">
        <v>122.2</v>
      </c>
      <c r="U10" s="83"/>
      <c r="V10" s="85"/>
      <c r="W10" s="83"/>
      <c r="X10" s="83"/>
      <c r="Y10" s="83"/>
      <c r="Z10" s="72">
        <f>SUM(B10:Y10)</f>
        <v>667.5</v>
      </c>
    </row>
    <row r="11" spans="1:28" ht="32.25" customHeight="1" x14ac:dyDescent="0.25">
      <c r="A11" s="81" t="s">
        <v>224</v>
      </c>
      <c r="B11" s="82"/>
      <c r="C11" s="83"/>
      <c r="D11" s="83"/>
      <c r="E11" s="82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4"/>
      <c r="Q11" s="83"/>
      <c r="R11" s="82">
        <v>463.7</v>
      </c>
      <c r="S11" s="82"/>
      <c r="T11" s="82"/>
      <c r="U11" s="83"/>
      <c r="V11" s="85"/>
      <c r="W11" s="83"/>
      <c r="X11" s="83"/>
      <c r="Y11" s="83"/>
      <c r="Z11" s="72">
        <f>SUM(B11:Y11)</f>
        <v>463.7</v>
      </c>
    </row>
    <row r="12" spans="1:28" x14ac:dyDescent="0.25">
      <c r="A12" s="86" t="s">
        <v>100</v>
      </c>
      <c r="B12" s="77">
        <f t="shared" ref="B12:Y12" si="0">B8+B9+B10+B11</f>
        <v>1</v>
      </c>
      <c r="C12" s="77">
        <f t="shared" si="0"/>
        <v>33.1</v>
      </c>
      <c r="D12" s="77">
        <f t="shared" si="0"/>
        <v>43.3</v>
      </c>
      <c r="E12" s="77">
        <f t="shared" si="0"/>
        <v>798.6</v>
      </c>
      <c r="F12" s="77">
        <f t="shared" si="0"/>
        <v>236</v>
      </c>
      <c r="G12" s="87">
        <f t="shared" si="0"/>
        <v>8.5</v>
      </c>
      <c r="H12" s="77">
        <f t="shared" si="0"/>
        <v>202</v>
      </c>
      <c r="I12" s="77">
        <f t="shared" si="0"/>
        <v>455</v>
      </c>
      <c r="J12" s="87">
        <f t="shared" si="0"/>
        <v>0.17399999999999999</v>
      </c>
      <c r="K12" s="77">
        <f t="shared" si="0"/>
        <v>17.399999999999999</v>
      </c>
      <c r="L12" s="77">
        <f t="shared" si="0"/>
        <v>31.5</v>
      </c>
      <c r="M12" s="77">
        <f t="shared" si="0"/>
        <v>27.2</v>
      </c>
      <c r="N12" s="77">
        <f t="shared" si="0"/>
        <v>9.8000000000000007</v>
      </c>
      <c r="O12" s="77">
        <f t="shared" si="0"/>
        <v>8.9</v>
      </c>
      <c r="P12" s="77">
        <f t="shared" si="0"/>
        <v>0.4</v>
      </c>
      <c r="Q12" s="77">
        <f t="shared" si="0"/>
        <v>820.3</v>
      </c>
      <c r="R12" s="77">
        <f t="shared" si="0"/>
        <v>1395.7</v>
      </c>
      <c r="S12" s="77">
        <f t="shared" si="0"/>
        <v>545.29999999999995</v>
      </c>
      <c r="T12" s="77">
        <f t="shared" si="0"/>
        <v>122.2</v>
      </c>
      <c r="U12" s="77">
        <f t="shared" si="0"/>
        <v>9.1</v>
      </c>
      <c r="V12" s="80">
        <f t="shared" si="0"/>
        <v>6</v>
      </c>
      <c r="W12" s="77">
        <f t="shared" si="0"/>
        <v>54.8</v>
      </c>
      <c r="X12" s="78">
        <f t="shared" si="0"/>
        <v>81.025000000000006</v>
      </c>
      <c r="Y12" s="78">
        <f t="shared" si="0"/>
        <v>21</v>
      </c>
      <c r="Z12" s="88">
        <f>SUM(B12:Y12)</f>
        <v>4928.299</v>
      </c>
      <c r="AB12" s="89"/>
    </row>
    <row r="13" spans="1:28" x14ac:dyDescent="0.25">
      <c r="L13" s="90"/>
      <c r="M13" s="90"/>
      <c r="N13" s="90"/>
      <c r="O13" s="90"/>
      <c r="P13" s="90"/>
      <c r="Q13" s="90"/>
    </row>
  </sheetData>
  <mergeCells count="2">
    <mergeCell ref="X3:Y3"/>
    <mergeCell ref="A4:Z5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72672-EE6E-437D-8CFD-FF13FB8D57AC}">
  <dimension ref="A1:S712"/>
  <sheetViews>
    <sheetView zoomScale="119" zoomScaleNormal="119" workbookViewId="0"/>
  </sheetViews>
  <sheetFormatPr defaultColWidth="9.109375" defaultRowHeight="12" x14ac:dyDescent="0.25"/>
  <cols>
    <col min="1" max="1" width="10.44140625" style="283" customWidth="1"/>
    <col min="2" max="2" width="42" style="283" customWidth="1"/>
    <col min="3" max="3" width="6.33203125" style="283" customWidth="1"/>
    <col min="4" max="4" width="10.88671875" style="283" customWidth="1"/>
    <col min="5" max="5" width="11.5546875" style="283" customWidth="1"/>
    <col min="6" max="6" width="8" style="283" customWidth="1"/>
    <col min="7" max="7" width="10.88671875" style="283" customWidth="1"/>
    <col min="8" max="8" width="10.44140625" style="283" bestFit="1" customWidth="1"/>
    <col min="9" max="9" width="10.5546875" style="283" customWidth="1"/>
    <col min="10" max="10" width="10.44140625" style="283" bestFit="1" customWidth="1"/>
    <col min="11" max="11" width="10.33203125" style="283" bestFit="1" customWidth="1"/>
    <col min="12" max="16384" width="9.109375" style="283"/>
  </cols>
  <sheetData>
    <row r="1" spans="1:7" x14ac:dyDescent="0.25">
      <c r="B1" s="284"/>
      <c r="C1" s="477" t="s">
        <v>0</v>
      </c>
      <c r="D1" s="299"/>
      <c r="E1" s="477"/>
      <c r="F1" s="299"/>
    </row>
    <row r="2" spans="1:7" x14ac:dyDescent="0.25">
      <c r="A2" s="285"/>
      <c r="B2" s="285"/>
      <c r="C2" s="478" t="s">
        <v>1</v>
      </c>
      <c r="D2" s="299"/>
      <c r="E2" s="478"/>
      <c r="F2" s="299"/>
    </row>
    <row r="3" spans="1:7" x14ac:dyDescent="0.25">
      <c r="A3" s="285"/>
      <c r="B3" s="285"/>
      <c r="C3" s="285"/>
      <c r="E3" s="32" t="s">
        <v>225</v>
      </c>
    </row>
    <row r="4" spans="1:7" ht="15.75" customHeight="1" x14ac:dyDescent="0.25">
      <c r="A4" s="491" t="s">
        <v>226</v>
      </c>
      <c r="B4" s="491"/>
      <c r="C4" s="491"/>
      <c r="D4" s="491"/>
      <c r="E4" s="491"/>
    </row>
    <row r="5" spans="1:7" x14ac:dyDescent="0.25">
      <c r="A5" s="285"/>
      <c r="B5" s="285"/>
      <c r="C5" s="285"/>
      <c r="E5" s="32" t="s">
        <v>98</v>
      </c>
      <c r="F5" s="286"/>
      <c r="G5" s="286"/>
    </row>
    <row r="6" spans="1:7" ht="58.5" customHeight="1" x14ac:dyDescent="0.25">
      <c r="A6" s="308" t="s">
        <v>4</v>
      </c>
      <c r="B6" s="287" t="s">
        <v>227</v>
      </c>
      <c r="C6" s="288" t="s">
        <v>228</v>
      </c>
      <c r="D6" s="289" t="s">
        <v>100</v>
      </c>
      <c r="E6" s="464" t="s">
        <v>229</v>
      </c>
      <c r="F6" s="290"/>
      <c r="G6" s="290"/>
    </row>
    <row r="7" spans="1:7" x14ac:dyDescent="0.25">
      <c r="A7" s="309">
        <v>1</v>
      </c>
      <c r="B7" s="291">
        <v>2</v>
      </c>
      <c r="C7" s="292">
        <v>3</v>
      </c>
      <c r="D7" s="459">
        <v>4</v>
      </c>
      <c r="E7" s="293">
        <v>5</v>
      </c>
      <c r="F7" s="294"/>
      <c r="G7" s="294"/>
    </row>
    <row r="8" spans="1:7" x14ac:dyDescent="0.25">
      <c r="A8" s="280" t="s">
        <v>7</v>
      </c>
      <c r="B8" s="273" t="s">
        <v>102</v>
      </c>
      <c r="C8" s="136"/>
      <c r="D8" s="381">
        <f>SUM(D10+D15)</f>
        <v>2059</v>
      </c>
      <c r="E8" s="389">
        <f>SUM(E10+E15)</f>
        <v>1826.8</v>
      </c>
      <c r="F8" s="105"/>
      <c r="G8" s="105"/>
    </row>
    <row r="9" spans="1:7" x14ac:dyDescent="0.25">
      <c r="A9" s="281"/>
      <c r="B9" s="275" t="s">
        <v>230</v>
      </c>
      <c r="C9" s="139"/>
      <c r="D9" s="326"/>
      <c r="E9" s="328"/>
      <c r="F9" s="107"/>
      <c r="G9" s="107"/>
    </row>
    <row r="10" spans="1:7" x14ac:dyDescent="0.25">
      <c r="A10" s="281" t="s">
        <v>9</v>
      </c>
      <c r="B10" s="276" t="s">
        <v>231</v>
      </c>
      <c r="C10" s="141" t="s">
        <v>232</v>
      </c>
      <c r="D10" s="382">
        <f>SUM(D11:D14)</f>
        <v>2044.7</v>
      </c>
      <c r="E10" s="391">
        <f>SUM(E11:E14)</f>
        <v>1822</v>
      </c>
      <c r="F10" s="107"/>
      <c r="G10" s="107"/>
    </row>
    <row r="11" spans="1:7" x14ac:dyDescent="0.25">
      <c r="A11" s="281" t="s">
        <v>233</v>
      </c>
      <c r="B11" s="277" t="s">
        <v>234</v>
      </c>
      <c r="C11" s="141"/>
      <c r="D11" s="326">
        <v>394.2</v>
      </c>
      <c r="E11" s="328">
        <v>312.5</v>
      </c>
      <c r="F11" s="107"/>
      <c r="G11" s="107"/>
    </row>
    <row r="12" spans="1:7" ht="24" customHeight="1" x14ac:dyDescent="0.25">
      <c r="A12" s="282" t="s">
        <v>235</v>
      </c>
      <c r="B12" s="278" t="s">
        <v>236</v>
      </c>
      <c r="C12" s="139"/>
      <c r="D12" s="326">
        <v>1571.5</v>
      </c>
      <c r="E12" s="328">
        <v>1487.1</v>
      </c>
      <c r="F12" s="107"/>
      <c r="G12" s="107"/>
    </row>
    <row r="13" spans="1:7" x14ac:dyDescent="0.25">
      <c r="A13" s="281" t="s">
        <v>237</v>
      </c>
      <c r="B13" s="279" t="s">
        <v>238</v>
      </c>
      <c r="C13" s="274"/>
      <c r="D13" s="326">
        <v>1.5</v>
      </c>
      <c r="E13" s="328">
        <v>1.5</v>
      </c>
      <c r="F13" s="107"/>
      <c r="G13" s="107"/>
    </row>
    <row r="14" spans="1:7" x14ac:dyDescent="0.25">
      <c r="A14" s="281" t="s">
        <v>239</v>
      </c>
      <c r="B14" s="279" t="s">
        <v>240</v>
      </c>
      <c r="C14" s="274"/>
      <c r="D14" s="326">
        <v>77.5</v>
      </c>
      <c r="E14" s="328">
        <v>20.9</v>
      </c>
      <c r="F14" s="107"/>
      <c r="G14" s="107"/>
    </row>
    <row r="15" spans="1:7" ht="24" x14ac:dyDescent="0.25">
      <c r="A15" s="311" t="s">
        <v>11</v>
      </c>
      <c r="B15" s="318" t="s">
        <v>241</v>
      </c>
      <c r="C15" s="275"/>
      <c r="D15" s="384">
        <f>SUM(D16)</f>
        <v>14.3</v>
      </c>
      <c r="E15" s="391">
        <f>SUM(E16)</f>
        <v>4.8</v>
      </c>
      <c r="F15" s="107"/>
      <c r="G15" s="107"/>
    </row>
    <row r="16" spans="1:7" x14ac:dyDescent="0.25">
      <c r="A16" s="312" t="s">
        <v>13</v>
      </c>
      <c r="B16" s="313" t="s">
        <v>234</v>
      </c>
      <c r="C16" s="314"/>
      <c r="D16" s="385">
        <v>14.3</v>
      </c>
      <c r="E16" s="392">
        <v>4.8</v>
      </c>
      <c r="F16" s="107"/>
      <c r="G16" s="107"/>
    </row>
    <row r="17" spans="1:19" x14ac:dyDescent="0.25">
      <c r="A17" s="310" t="s">
        <v>23</v>
      </c>
      <c r="B17" s="149" t="s">
        <v>242</v>
      </c>
      <c r="C17" s="139"/>
      <c r="D17" s="387">
        <f>SUM(D19+D25)</f>
        <v>2763</v>
      </c>
      <c r="E17" s="390">
        <f>SUM(E19+E25)</f>
        <v>2432.9</v>
      </c>
      <c r="F17" s="105"/>
      <c r="G17" s="105"/>
    </row>
    <row r="18" spans="1:19" x14ac:dyDescent="0.25">
      <c r="A18" s="281"/>
      <c r="B18" s="138" t="s">
        <v>230</v>
      </c>
      <c r="C18" s="139"/>
      <c r="D18" s="326"/>
      <c r="E18" s="328"/>
      <c r="F18" s="107"/>
      <c r="G18" s="107"/>
    </row>
    <row r="19" spans="1:19" x14ac:dyDescent="0.25">
      <c r="A19" s="311" t="s">
        <v>25</v>
      </c>
      <c r="B19" s="408" t="s">
        <v>231</v>
      </c>
      <c r="C19" s="141" t="s">
        <v>232</v>
      </c>
      <c r="D19" s="382">
        <f>SUM(D20:D24)</f>
        <v>2745.7</v>
      </c>
      <c r="E19" s="391">
        <f>SUM(E20:E24)</f>
        <v>2427.9</v>
      </c>
      <c r="F19" s="107"/>
      <c r="G19" s="107"/>
    </row>
    <row r="20" spans="1:19" x14ac:dyDescent="0.25">
      <c r="A20" s="311" t="s">
        <v>27</v>
      </c>
      <c r="B20" s="316" t="s">
        <v>234</v>
      </c>
      <c r="C20" s="141"/>
      <c r="D20" s="326">
        <f>813.9+3</f>
        <v>816.9</v>
      </c>
      <c r="E20" s="328">
        <v>628.5</v>
      </c>
      <c r="F20" s="107"/>
      <c r="G20" s="107"/>
    </row>
    <row r="21" spans="1:19" x14ac:dyDescent="0.25">
      <c r="A21" s="315" t="s">
        <v>29</v>
      </c>
      <c r="B21" s="406" t="s">
        <v>236</v>
      </c>
      <c r="C21" s="317"/>
      <c r="D21" s="326">
        <v>1809.8</v>
      </c>
      <c r="E21" s="328">
        <v>1720.5</v>
      </c>
      <c r="F21" s="107"/>
      <c r="G21" s="107"/>
    </row>
    <row r="22" spans="1:19" ht="24" x14ac:dyDescent="0.25">
      <c r="A22" s="315" t="s">
        <v>243</v>
      </c>
      <c r="B22" s="407" t="s">
        <v>244</v>
      </c>
      <c r="C22" s="317"/>
      <c r="D22" s="326">
        <v>78.5</v>
      </c>
      <c r="E22" s="328">
        <v>77.400000000000006</v>
      </c>
      <c r="F22" s="107"/>
      <c r="G22" s="107"/>
    </row>
    <row r="23" spans="1:19" ht="12.75" customHeight="1" x14ac:dyDescent="0.25">
      <c r="A23" s="315" t="s">
        <v>245</v>
      </c>
      <c r="B23" s="307" t="s">
        <v>238</v>
      </c>
      <c r="C23" s="317"/>
      <c r="D23" s="326">
        <v>1.5</v>
      </c>
      <c r="E23" s="328">
        <v>1.5</v>
      </c>
      <c r="F23" s="107"/>
      <c r="G23" s="107"/>
      <c r="S23" s="295"/>
    </row>
    <row r="24" spans="1:19" ht="12.75" customHeight="1" x14ac:dyDescent="0.25">
      <c r="A24" s="315" t="s">
        <v>246</v>
      </c>
      <c r="B24" s="307" t="s">
        <v>240</v>
      </c>
      <c r="C24" s="317"/>
      <c r="D24" s="326">
        <v>39</v>
      </c>
      <c r="E24" s="328"/>
      <c r="F24" s="107"/>
      <c r="G24" s="107"/>
      <c r="S24" s="295"/>
    </row>
    <row r="25" spans="1:19" ht="24.75" customHeight="1" x14ac:dyDescent="0.25">
      <c r="A25" s="315" t="s">
        <v>31</v>
      </c>
      <c r="B25" s="318" t="s">
        <v>241</v>
      </c>
      <c r="C25" s="317"/>
      <c r="D25" s="382">
        <f>SUM(D26)</f>
        <v>17.3</v>
      </c>
      <c r="E25" s="391">
        <f>SUM(E26)</f>
        <v>5</v>
      </c>
      <c r="F25" s="107"/>
      <c r="G25" s="107"/>
      <c r="S25" s="295"/>
    </row>
    <row r="26" spans="1:19" x14ac:dyDescent="0.25">
      <c r="A26" s="311" t="s">
        <v>33</v>
      </c>
      <c r="B26" s="316" t="s">
        <v>234</v>
      </c>
      <c r="C26" s="139"/>
      <c r="D26" s="326">
        <v>17.3</v>
      </c>
      <c r="E26" s="392">
        <v>5</v>
      </c>
      <c r="F26" s="107"/>
      <c r="G26" s="107"/>
    </row>
    <row r="27" spans="1:19" s="296" customFormat="1" x14ac:dyDescent="0.25">
      <c r="A27" s="134" t="s">
        <v>60</v>
      </c>
      <c r="B27" s="135" t="s">
        <v>104</v>
      </c>
      <c r="C27" s="152"/>
      <c r="D27" s="381">
        <f>SUM(D29+D34)</f>
        <v>2329.2999999999997</v>
      </c>
      <c r="E27" s="389">
        <f>SUM(E29+E34)</f>
        <v>1978.2</v>
      </c>
      <c r="F27" s="105"/>
      <c r="G27" s="105"/>
    </row>
    <row r="28" spans="1:19" x14ac:dyDescent="0.25">
      <c r="A28" s="137"/>
      <c r="B28" s="138" t="s">
        <v>230</v>
      </c>
      <c r="C28" s="139"/>
      <c r="D28" s="387"/>
      <c r="E28" s="328"/>
      <c r="F28" s="107"/>
      <c r="G28" s="107"/>
    </row>
    <row r="29" spans="1:19" x14ac:dyDescent="0.25">
      <c r="A29" s="137" t="s">
        <v>62</v>
      </c>
      <c r="B29" s="140" t="s">
        <v>231</v>
      </c>
      <c r="C29" s="141" t="s">
        <v>232</v>
      </c>
      <c r="D29" s="382">
        <f>SUM(D30:D33)</f>
        <v>2319.7999999999997</v>
      </c>
      <c r="E29" s="391">
        <f>SUM(E30:E33)</f>
        <v>1975.3</v>
      </c>
      <c r="F29" s="107"/>
      <c r="G29" s="107"/>
    </row>
    <row r="30" spans="1:19" x14ac:dyDescent="0.25">
      <c r="A30" s="137" t="s">
        <v>247</v>
      </c>
      <c r="B30" s="142" t="s">
        <v>234</v>
      </c>
      <c r="C30" s="141"/>
      <c r="D30" s="326">
        <v>1026.8</v>
      </c>
      <c r="E30" s="328">
        <v>803</v>
      </c>
      <c r="F30" s="107"/>
      <c r="G30" s="107"/>
    </row>
    <row r="31" spans="1:19" x14ac:dyDescent="0.25">
      <c r="A31" s="143" t="s">
        <v>248</v>
      </c>
      <c r="B31" s="144" t="s">
        <v>236</v>
      </c>
      <c r="C31" s="139"/>
      <c r="D31" s="326">
        <v>1206.0999999999999</v>
      </c>
      <c r="E31" s="328">
        <v>1159.5</v>
      </c>
      <c r="F31" s="107"/>
      <c r="G31" s="107"/>
    </row>
    <row r="32" spans="1:19" x14ac:dyDescent="0.25">
      <c r="A32" s="143" t="s">
        <v>249</v>
      </c>
      <c r="B32" s="144" t="s">
        <v>250</v>
      </c>
      <c r="C32" s="139"/>
      <c r="D32" s="326">
        <v>1.5</v>
      </c>
      <c r="E32" s="328">
        <v>1.5</v>
      </c>
      <c r="F32" s="107"/>
      <c r="G32" s="107"/>
    </row>
    <row r="33" spans="1:7" x14ac:dyDescent="0.25">
      <c r="A33" s="143" t="s">
        <v>251</v>
      </c>
      <c r="B33" s="144" t="s">
        <v>240</v>
      </c>
      <c r="C33" s="139"/>
      <c r="D33" s="326">
        <v>85.4</v>
      </c>
      <c r="E33" s="328">
        <v>11.3</v>
      </c>
      <c r="F33" s="107"/>
      <c r="G33" s="107"/>
    </row>
    <row r="34" spans="1:7" ht="24" x14ac:dyDescent="0.25">
      <c r="A34" s="143" t="s">
        <v>64</v>
      </c>
      <c r="B34" s="319" t="s">
        <v>241</v>
      </c>
      <c r="C34" s="139"/>
      <c r="D34" s="382">
        <f>SUM(D35)</f>
        <v>9.5</v>
      </c>
      <c r="E34" s="391">
        <f>SUM(E35)</f>
        <v>2.9</v>
      </c>
      <c r="F34" s="107"/>
      <c r="G34" s="107"/>
    </row>
    <row r="35" spans="1:7" x14ac:dyDescent="0.25">
      <c r="A35" s="137" t="s">
        <v>252</v>
      </c>
      <c r="B35" s="142" t="s">
        <v>234</v>
      </c>
      <c r="C35" s="138"/>
      <c r="D35" s="394">
        <v>9.5</v>
      </c>
      <c r="E35" s="392">
        <v>2.9</v>
      </c>
      <c r="F35" s="107"/>
      <c r="G35" s="107"/>
    </row>
    <row r="36" spans="1:7" s="296" customFormat="1" x14ac:dyDescent="0.25">
      <c r="A36" s="134" t="s">
        <v>72</v>
      </c>
      <c r="B36" s="135" t="s">
        <v>105</v>
      </c>
      <c r="C36" s="135"/>
      <c r="D36" s="460">
        <f>SUM(D38+D43)</f>
        <v>1055.4000000000001</v>
      </c>
      <c r="E36" s="390">
        <f>SUM(E38+E43)</f>
        <v>908.90000000000009</v>
      </c>
      <c r="F36" s="105"/>
      <c r="G36" s="105"/>
    </row>
    <row r="37" spans="1:7" x14ac:dyDescent="0.25">
      <c r="A37" s="137"/>
      <c r="B37" s="138" t="s">
        <v>230</v>
      </c>
      <c r="C37" s="138"/>
      <c r="D37" s="393"/>
      <c r="E37" s="328"/>
      <c r="F37" s="107"/>
      <c r="G37" s="107"/>
    </row>
    <row r="38" spans="1:7" x14ac:dyDescent="0.25">
      <c r="A38" s="137" t="s">
        <v>74</v>
      </c>
      <c r="B38" s="140" t="s">
        <v>231</v>
      </c>
      <c r="C38" s="153" t="s">
        <v>232</v>
      </c>
      <c r="D38" s="384">
        <f>SUM(D39:D42)</f>
        <v>1043.2</v>
      </c>
      <c r="E38" s="391">
        <f>SUM(E39:E42)</f>
        <v>904.80000000000007</v>
      </c>
      <c r="F38" s="107"/>
      <c r="G38" s="107"/>
    </row>
    <row r="39" spans="1:7" x14ac:dyDescent="0.25">
      <c r="A39" s="137" t="s">
        <v>253</v>
      </c>
      <c r="B39" s="142" t="s">
        <v>234</v>
      </c>
      <c r="C39" s="153"/>
      <c r="D39" s="329">
        <v>443.2</v>
      </c>
      <c r="E39" s="328">
        <v>348.5</v>
      </c>
      <c r="F39" s="107"/>
      <c r="G39" s="107"/>
    </row>
    <row r="40" spans="1:7" x14ac:dyDescent="0.25">
      <c r="A40" s="143" t="s">
        <v>254</v>
      </c>
      <c r="B40" s="144" t="s">
        <v>236</v>
      </c>
      <c r="C40" s="138"/>
      <c r="D40" s="329">
        <v>571.1</v>
      </c>
      <c r="E40" s="328">
        <v>551.20000000000005</v>
      </c>
      <c r="F40" s="107"/>
      <c r="G40" s="107"/>
    </row>
    <row r="41" spans="1:7" x14ac:dyDescent="0.25">
      <c r="A41" s="143" t="s">
        <v>255</v>
      </c>
      <c r="B41" s="144" t="s">
        <v>250</v>
      </c>
      <c r="C41" s="138"/>
      <c r="D41" s="329">
        <v>1.5</v>
      </c>
      <c r="E41" s="328">
        <v>1.5</v>
      </c>
      <c r="F41" s="107"/>
      <c r="G41" s="107"/>
    </row>
    <row r="42" spans="1:7" x14ac:dyDescent="0.25">
      <c r="A42" s="143" t="s">
        <v>256</v>
      </c>
      <c r="B42" s="144" t="s">
        <v>240</v>
      </c>
      <c r="C42" s="138"/>
      <c r="D42" s="329">
        <v>27.4</v>
      </c>
      <c r="E42" s="328">
        <v>3.6</v>
      </c>
      <c r="F42" s="107"/>
      <c r="G42" s="107"/>
    </row>
    <row r="43" spans="1:7" ht="24" x14ac:dyDescent="0.25">
      <c r="A43" s="143" t="s">
        <v>76</v>
      </c>
      <c r="B43" s="319" t="s">
        <v>241</v>
      </c>
      <c r="C43" s="138"/>
      <c r="D43" s="461">
        <f>SUM(D44)</f>
        <v>12.2</v>
      </c>
      <c r="E43" s="391">
        <f>SUM(E44)</f>
        <v>4.0999999999999996</v>
      </c>
      <c r="F43" s="107"/>
      <c r="G43" s="107"/>
    </row>
    <row r="44" spans="1:7" x14ac:dyDescent="0.25">
      <c r="A44" s="137" t="s">
        <v>257</v>
      </c>
      <c r="B44" s="142" t="s">
        <v>234</v>
      </c>
      <c r="C44" s="138"/>
      <c r="D44" s="329">
        <v>12.2</v>
      </c>
      <c r="E44" s="328">
        <v>4.0999999999999996</v>
      </c>
      <c r="F44" s="107"/>
      <c r="G44" s="107"/>
    </row>
    <row r="45" spans="1:7" s="296" customFormat="1" x14ac:dyDescent="0.25">
      <c r="A45" s="157" t="s">
        <v>85</v>
      </c>
      <c r="B45" s="158" t="s">
        <v>106</v>
      </c>
      <c r="C45" s="159"/>
      <c r="D45" s="381">
        <f>SUM(D47+D53)</f>
        <v>2348.7999999999997</v>
      </c>
      <c r="E45" s="389">
        <f>SUM(E47+E53)</f>
        <v>2112.5</v>
      </c>
      <c r="F45" s="105"/>
      <c r="G45" s="105"/>
    </row>
    <row r="46" spans="1:7" x14ac:dyDescent="0.25">
      <c r="A46" s="154"/>
      <c r="B46" s="156" t="s">
        <v>230</v>
      </c>
      <c r="C46" s="160"/>
      <c r="D46" s="387"/>
      <c r="E46" s="328"/>
      <c r="F46" s="107"/>
      <c r="G46" s="107"/>
    </row>
    <row r="47" spans="1:7" x14ac:dyDescent="0.25">
      <c r="A47" s="154" t="s">
        <v>258</v>
      </c>
      <c r="B47" s="161" t="s">
        <v>231</v>
      </c>
      <c r="C47" s="162" t="s">
        <v>232</v>
      </c>
      <c r="D47" s="382">
        <f>SUM(D48:D52)</f>
        <v>2331.6</v>
      </c>
      <c r="E47" s="391">
        <f>SUM(E48:E52)</f>
        <v>2107.9</v>
      </c>
      <c r="F47" s="107"/>
      <c r="G47" s="107"/>
    </row>
    <row r="48" spans="1:7" x14ac:dyDescent="0.25">
      <c r="A48" s="154" t="s">
        <v>259</v>
      </c>
      <c r="B48" s="163" t="s">
        <v>234</v>
      </c>
      <c r="C48" s="162"/>
      <c r="D48" s="326">
        <f>707+3</f>
        <v>710</v>
      </c>
      <c r="E48" s="328">
        <v>606.9</v>
      </c>
      <c r="F48" s="107"/>
      <c r="G48" s="107"/>
    </row>
    <row r="49" spans="1:7" x14ac:dyDescent="0.25">
      <c r="A49" s="409" t="s">
        <v>260</v>
      </c>
      <c r="B49" s="411" t="s">
        <v>236</v>
      </c>
      <c r="C49" s="332"/>
      <c r="D49" s="326">
        <v>1556.6</v>
      </c>
      <c r="E49" s="328">
        <v>1476.9</v>
      </c>
      <c r="F49" s="107"/>
      <c r="G49" s="107"/>
    </row>
    <row r="50" spans="1:7" ht="24" x14ac:dyDescent="0.25">
      <c r="A50" s="409" t="s">
        <v>261</v>
      </c>
      <c r="B50" s="407" t="s">
        <v>244</v>
      </c>
      <c r="C50" s="332"/>
      <c r="D50" s="326">
        <v>16.3</v>
      </c>
      <c r="E50" s="328">
        <v>16.100000000000001</v>
      </c>
      <c r="F50" s="107"/>
      <c r="G50" s="107"/>
    </row>
    <row r="51" spans="1:7" x14ac:dyDescent="0.25">
      <c r="A51" s="409" t="s">
        <v>262</v>
      </c>
      <c r="B51" s="411" t="s">
        <v>250</v>
      </c>
      <c r="C51" s="332"/>
      <c r="D51" s="326">
        <v>1.5</v>
      </c>
      <c r="E51" s="328">
        <v>1.5</v>
      </c>
      <c r="F51" s="107"/>
      <c r="G51" s="107"/>
    </row>
    <row r="52" spans="1:7" x14ac:dyDescent="0.25">
      <c r="A52" s="409" t="s">
        <v>263</v>
      </c>
      <c r="B52" s="411" t="s">
        <v>240</v>
      </c>
      <c r="C52" s="332"/>
      <c r="D52" s="326">
        <v>47.2</v>
      </c>
      <c r="E52" s="328">
        <v>6.5</v>
      </c>
      <c r="F52" s="107"/>
      <c r="G52" s="107"/>
    </row>
    <row r="53" spans="1:7" ht="24" x14ac:dyDescent="0.25">
      <c r="A53" s="164" t="s">
        <v>264</v>
      </c>
      <c r="B53" s="412" t="s">
        <v>241</v>
      </c>
      <c r="C53" s="410"/>
      <c r="D53" s="382">
        <f>SUM(D54)</f>
        <v>17.2</v>
      </c>
      <c r="E53" s="391">
        <f>SUM(E54)</f>
        <v>4.5999999999999996</v>
      </c>
      <c r="F53" s="107"/>
      <c r="G53" s="107"/>
    </row>
    <row r="54" spans="1:7" x14ac:dyDescent="0.25">
      <c r="A54" s="303" t="s">
        <v>265</v>
      </c>
      <c r="B54" s="304" t="s">
        <v>234</v>
      </c>
      <c r="C54" s="305"/>
      <c r="D54" s="394">
        <v>17.2</v>
      </c>
      <c r="E54" s="392">
        <v>4.5999999999999996</v>
      </c>
      <c r="F54" s="107"/>
      <c r="G54" s="107"/>
    </row>
    <row r="55" spans="1:7" s="296" customFormat="1" x14ac:dyDescent="0.25">
      <c r="A55" s="175" t="s">
        <v>87</v>
      </c>
      <c r="B55" s="168" t="s">
        <v>107</v>
      </c>
      <c r="C55" s="168"/>
      <c r="D55" s="462">
        <f>SUM(D57+D62)</f>
        <v>2788.8</v>
      </c>
      <c r="E55" s="452">
        <f>SUM(E57+E62)</f>
        <v>2425.4</v>
      </c>
      <c r="F55" s="105"/>
      <c r="G55" s="105"/>
    </row>
    <row r="56" spans="1:7" x14ac:dyDescent="0.25">
      <c r="A56" s="154"/>
      <c r="B56" s="156" t="s">
        <v>230</v>
      </c>
      <c r="C56" s="156"/>
      <c r="D56" s="387"/>
      <c r="E56" s="328"/>
      <c r="F56" s="107"/>
      <c r="G56" s="107"/>
    </row>
    <row r="57" spans="1:7" ht="12" customHeight="1" x14ac:dyDescent="0.25">
      <c r="A57" s="154" t="s">
        <v>266</v>
      </c>
      <c r="B57" s="161" t="s">
        <v>231</v>
      </c>
      <c r="C57" s="169" t="s">
        <v>232</v>
      </c>
      <c r="D57" s="382">
        <f>SUM(D58:D61)</f>
        <v>2762.3</v>
      </c>
      <c r="E57" s="391">
        <f>SUM(E58:E61)</f>
        <v>2412.5</v>
      </c>
      <c r="F57" s="107"/>
      <c r="G57" s="107"/>
    </row>
    <row r="58" spans="1:7" x14ac:dyDescent="0.25">
      <c r="A58" s="154" t="s">
        <v>267</v>
      </c>
      <c r="B58" s="163" t="s">
        <v>234</v>
      </c>
      <c r="C58" s="169"/>
      <c r="D58" s="329">
        <v>711.5</v>
      </c>
      <c r="E58" s="328">
        <v>589.79999999999995</v>
      </c>
      <c r="F58" s="107"/>
      <c r="G58" s="107"/>
    </row>
    <row r="59" spans="1:7" x14ac:dyDescent="0.25">
      <c r="A59" s="164" t="s">
        <v>268</v>
      </c>
      <c r="B59" s="165" t="s">
        <v>236</v>
      </c>
      <c r="C59" s="156"/>
      <c r="D59" s="329">
        <v>1913.4</v>
      </c>
      <c r="E59" s="328">
        <v>1804.7</v>
      </c>
      <c r="F59" s="107"/>
      <c r="G59" s="107"/>
    </row>
    <row r="60" spans="1:7" x14ac:dyDescent="0.25">
      <c r="A60" s="164" t="s">
        <v>269</v>
      </c>
      <c r="B60" s="165" t="s">
        <v>250</v>
      </c>
      <c r="C60" s="156"/>
      <c r="D60" s="329">
        <v>1.5</v>
      </c>
      <c r="E60" s="328">
        <v>1.5</v>
      </c>
      <c r="F60" s="107"/>
      <c r="G60" s="107"/>
    </row>
    <row r="61" spans="1:7" x14ac:dyDescent="0.25">
      <c r="A61" s="164" t="s">
        <v>270</v>
      </c>
      <c r="B61" s="165" t="s">
        <v>240</v>
      </c>
      <c r="C61" s="156"/>
      <c r="D61" s="329">
        <v>135.9</v>
      </c>
      <c r="E61" s="328">
        <v>16.5</v>
      </c>
      <c r="F61" s="107"/>
      <c r="G61" s="107"/>
    </row>
    <row r="62" spans="1:7" ht="24" x14ac:dyDescent="0.25">
      <c r="A62" s="164" t="s">
        <v>271</v>
      </c>
      <c r="B62" s="265" t="s">
        <v>241</v>
      </c>
      <c r="C62" s="169"/>
      <c r="D62" s="384">
        <f>SUM(D63)</f>
        <v>26.5</v>
      </c>
      <c r="E62" s="391">
        <f>SUM(E63)</f>
        <v>12.9</v>
      </c>
      <c r="F62" s="107"/>
      <c r="G62" s="107"/>
    </row>
    <row r="63" spans="1:7" x14ac:dyDescent="0.25">
      <c r="A63" s="154" t="s">
        <v>272</v>
      </c>
      <c r="B63" s="163" t="s">
        <v>234</v>
      </c>
      <c r="C63" s="306"/>
      <c r="D63" s="329">
        <v>26.5</v>
      </c>
      <c r="E63" s="328">
        <v>12.9</v>
      </c>
      <c r="F63" s="107"/>
      <c r="G63" s="107"/>
    </row>
    <row r="64" spans="1:7" s="296" customFormat="1" x14ac:dyDescent="0.25">
      <c r="A64" s="157" t="s">
        <v>89</v>
      </c>
      <c r="B64" s="158" t="s">
        <v>108</v>
      </c>
      <c r="C64" s="171"/>
      <c r="D64" s="381">
        <f>SUM(D66+D70)</f>
        <v>796.80000000000007</v>
      </c>
      <c r="E64" s="389">
        <f>SUM(E66+E70)</f>
        <v>669.2</v>
      </c>
      <c r="F64" s="105"/>
      <c r="G64" s="105"/>
    </row>
    <row r="65" spans="1:7" x14ac:dyDescent="0.25">
      <c r="A65" s="154"/>
      <c r="B65" s="156" t="s">
        <v>230</v>
      </c>
      <c r="C65" s="172"/>
      <c r="D65" s="387"/>
      <c r="E65" s="328"/>
      <c r="F65" s="107"/>
      <c r="G65" s="107"/>
    </row>
    <row r="66" spans="1:7" x14ac:dyDescent="0.25">
      <c r="A66" s="154" t="s">
        <v>91</v>
      </c>
      <c r="B66" s="161" t="s">
        <v>231</v>
      </c>
      <c r="C66" s="162" t="s">
        <v>232</v>
      </c>
      <c r="D66" s="382">
        <f>SUM(D67:D69)</f>
        <v>782.90000000000009</v>
      </c>
      <c r="E66" s="391">
        <f>SUM(E67:E69)</f>
        <v>663.40000000000009</v>
      </c>
      <c r="F66" s="107"/>
      <c r="G66" s="107"/>
    </row>
    <row r="67" spans="1:7" x14ac:dyDescent="0.25">
      <c r="A67" s="154" t="s">
        <v>273</v>
      </c>
      <c r="B67" s="163" t="s">
        <v>234</v>
      </c>
      <c r="C67" s="162"/>
      <c r="D67" s="326">
        <v>379.3</v>
      </c>
      <c r="E67" s="328">
        <v>298.5</v>
      </c>
      <c r="F67" s="107"/>
      <c r="G67" s="107"/>
    </row>
    <row r="68" spans="1:7" x14ac:dyDescent="0.25">
      <c r="A68" s="164" t="s">
        <v>274</v>
      </c>
      <c r="B68" s="165" t="s">
        <v>236</v>
      </c>
      <c r="C68" s="172"/>
      <c r="D68" s="326">
        <v>372.1</v>
      </c>
      <c r="E68" s="328">
        <v>360.2</v>
      </c>
      <c r="F68" s="107"/>
      <c r="G68" s="107"/>
    </row>
    <row r="69" spans="1:7" x14ac:dyDescent="0.25">
      <c r="A69" s="164" t="s">
        <v>275</v>
      </c>
      <c r="B69" s="165" t="s">
        <v>240</v>
      </c>
      <c r="C69" s="172"/>
      <c r="D69" s="326">
        <v>31.5</v>
      </c>
      <c r="E69" s="328">
        <v>4.7</v>
      </c>
      <c r="F69" s="107"/>
      <c r="G69" s="107"/>
    </row>
    <row r="70" spans="1:7" ht="24" x14ac:dyDescent="0.25">
      <c r="A70" s="164" t="s">
        <v>276</v>
      </c>
      <c r="B70" s="265" t="s">
        <v>241</v>
      </c>
      <c r="C70" s="223"/>
      <c r="D70" s="382">
        <f>SUM(D71)</f>
        <v>13.9</v>
      </c>
      <c r="E70" s="391">
        <f>SUM(E71)</f>
        <v>5.8</v>
      </c>
      <c r="F70" s="107"/>
      <c r="G70" s="107"/>
    </row>
    <row r="71" spans="1:7" x14ac:dyDescent="0.25">
      <c r="A71" s="154" t="s">
        <v>277</v>
      </c>
      <c r="B71" s="163" t="s">
        <v>234</v>
      </c>
      <c r="C71" s="172"/>
      <c r="D71" s="394">
        <v>13.9</v>
      </c>
      <c r="E71" s="392">
        <v>5.8</v>
      </c>
      <c r="F71" s="107"/>
      <c r="G71" s="107"/>
    </row>
    <row r="72" spans="1:7" s="296" customFormat="1" x14ac:dyDescent="0.25">
      <c r="A72" s="157" t="s">
        <v>109</v>
      </c>
      <c r="B72" s="158" t="s">
        <v>110</v>
      </c>
      <c r="C72" s="158"/>
      <c r="D72" s="393">
        <f>SUM(D74+D79)</f>
        <v>760.59999999999991</v>
      </c>
      <c r="E72" s="390">
        <f>SUM(E74+E79)</f>
        <v>678.9</v>
      </c>
      <c r="F72" s="105"/>
      <c r="G72" s="105"/>
    </row>
    <row r="73" spans="1:7" s="296" customFormat="1" x14ac:dyDescent="0.25">
      <c r="A73" s="175"/>
      <c r="B73" s="156" t="s">
        <v>230</v>
      </c>
      <c r="C73" s="156"/>
      <c r="D73" s="393"/>
      <c r="E73" s="390"/>
      <c r="F73" s="105"/>
      <c r="G73" s="105"/>
    </row>
    <row r="74" spans="1:7" x14ac:dyDescent="0.25">
      <c r="A74" s="154" t="s">
        <v>278</v>
      </c>
      <c r="B74" s="161" t="s">
        <v>231</v>
      </c>
      <c r="C74" s="169" t="s">
        <v>232</v>
      </c>
      <c r="D74" s="384">
        <f>SUM(D75:D78)</f>
        <v>753.8</v>
      </c>
      <c r="E74" s="391">
        <f>SUM(E75:E78)</f>
        <v>676.19999999999993</v>
      </c>
      <c r="F74" s="107"/>
      <c r="G74" s="107"/>
    </row>
    <row r="75" spans="1:7" x14ac:dyDescent="0.25">
      <c r="A75" s="154" t="s">
        <v>279</v>
      </c>
      <c r="B75" s="163" t="s">
        <v>234</v>
      </c>
      <c r="C75" s="169"/>
      <c r="D75" s="329">
        <v>279.2</v>
      </c>
      <c r="E75" s="328">
        <v>223.7</v>
      </c>
      <c r="F75" s="107"/>
      <c r="G75" s="107"/>
    </row>
    <row r="76" spans="1:7" x14ac:dyDescent="0.25">
      <c r="A76" s="164" t="s">
        <v>280</v>
      </c>
      <c r="B76" s="165" t="s">
        <v>236</v>
      </c>
      <c r="C76" s="156"/>
      <c r="D76" s="329">
        <v>467.2</v>
      </c>
      <c r="E76" s="328">
        <v>450.7</v>
      </c>
      <c r="F76" s="107"/>
      <c r="G76" s="107"/>
    </row>
    <row r="77" spans="1:7" x14ac:dyDescent="0.25">
      <c r="A77" s="164" t="s">
        <v>281</v>
      </c>
      <c r="B77" s="165" t="s">
        <v>250</v>
      </c>
      <c r="C77" s="156"/>
      <c r="D77" s="329">
        <v>1.5</v>
      </c>
      <c r="E77" s="328">
        <v>1.5</v>
      </c>
      <c r="F77" s="107"/>
      <c r="G77" s="107"/>
    </row>
    <row r="78" spans="1:7" x14ac:dyDescent="0.25">
      <c r="A78" s="164" t="s">
        <v>282</v>
      </c>
      <c r="B78" s="165" t="s">
        <v>240</v>
      </c>
      <c r="C78" s="156"/>
      <c r="D78" s="329">
        <v>5.9</v>
      </c>
      <c r="E78" s="328">
        <v>0.3</v>
      </c>
      <c r="F78" s="107"/>
      <c r="G78" s="107"/>
    </row>
    <row r="79" spans="1:7" ht="24" x14ac:dyDescent="0.25">
      <c r="A79" s="164" t="s">
        <v>283</v>
      </c>
      <c r="B79" s="265" t="s">
        <v>241</v>
      </c>
      <c r="C79" s="169"/>
      <c r="D79" s="384">
        <f>SUM(D80)</f>
        <v>6.8</v>
      </c>
      <c r="E79" s="391">
        <f>SUM(E80)</f>
        <v>2.7</v>
      </c>
      <c r="F79" s="107"/>
      <c r="G79" s="107"/>
    </row>
    <row r="80" spans="1:7" x14ac:dyDescent="0.25">
      <c r="A80" s="154" t="s">
        <v>284</v>
      </c>
      <c r="B80" s="163" t="s">
        <v>234</v>
      </c>
      <c r="C80" s="156"/>
      <c r="D80" s="329">
        <v>6.8</v>
      </c>
      <c r="E80" s="328">
        <v>2.7</v>
      </c>
      <c r="F80" s="107"/>
      <c r="G80" s="107"/>
    </row>
    <row r="81" spans="1:7" s="296" customFormat="1" x14ac:dyDescent="0.25">
      <c r="A81" s="157" t="s">
        <v>93</v>
      </c>
      <c r="B81" s="158" t="s">
        <v>111</v>
      </c>
      <c r="C81" s="158"/>
      <c r="D81" s="396">
        <f>SUM(D83+D88)</f>
        <v>2228.5</v>
      </c>
      <c r="E81" s="389">
        <f>SUM(E83+E88)</f>
        <v>1901.5</v>
      </c>
      <c r="F81" s="105"/>
      <c r="G81" s="105"/>
    </row>
    <row r="82" spans="1:7" x14ac:dyDescent="0.25">
      <c r="A82" s="154"/>
      <c r="B82" s="156" t="s">
        <v>230</v>
      </c>
      <c r="C82" s="156"/>
      <c r="D82" s="463"/>
      <c r="E82" s="465"/>
      <c r="F82" s="107"/>
      <c r="G82" s="107"/>
    </row>
    <row r="83" spans="1:7" x14ac:dyDescent="0.25">
      <c r="A83" s="154" t="s">
        <v>285</v>
      </c>
      <c r="B83" s="161" t="s">
        <v>231</v>
      </c>
      <c r="C83" s="169" t="s">
        <v>232</v>
      </c>
      <c r="D83" s="461">
        <f>SUM(D84:D87)</f>
        <v>2201.9</v>
      </c>
      <c r="E83" s="391">
        <f>SUM(E84:E87)</f>
        <v>1893.7</v>
      </c>
      <c r="F83" s="107"/>
      <c r="G83" s="107"/>
    </row>
    <row r="84" spans="1:7" x14ac:dyDescent="0.25">
      <c r="A84" s="154" t="s">
        <v>286</v>
      </c>
      <c r="B84" s="163" t="s">
        <v>234</v>
      </c>
      <c r="C84" s="169"/>
      <c r="D84" s="454">
        <v>1080.9000000000001</v>
      </c>
      <c r="E84" s="328">
        <v>885</v>
      </c>
      <c r="F84" s="107"/>
      <c r="G84" s="107"/>
    </row>
    <row r="85" spans="1:7" x14ac:dyDescent="0.25">
      <c r="A85" s="164" t="s">
        <v>287</v>
      </c>
      <c r="B85" s="165" t="s">
        <v>236</v>
      </c>
      <c r="C85" s="156"/>
      <c r="D85" s="454">
        <v>1039</v>
      </c>
      <c r="E85" s="328">
        <v>996</v>
      </c>
      <c r="F85" s="107"/>
      <c r="G85" s="107"/>
    </row>
    <row r="86" spans="1:7" x14ac:dyDescent="0.25">
      <c r="A86" s="164" t="s">
        <v>288</v>
      </c>
      <c r="B86" s="165" t="s">
        <v>250</v>
      </c>
      <c r="C86" s="156"/>
      <c r="D86" s="454">
        <v>1.5</v>
      </c>
      <c r="E86" s="328">
        <v>1.5</v>
      </c>
      <c r="F86" s="107"/>
      <c r="G86" s="107"/>
    </row>
    <row r="87" spans="1:7" x14ac:dyDescent="0.25">
      <c r="A87" s="164" t="s">
        <v>289</v>
      </c>
      <c r="B87" s="165" t="s">
        <v>240</v>
      </c>
      <c r="C87" s="156"/>
      <c r="D87" s="454">
        <v>80.5</v>
      </c>
      <c r="E87" s="328">
        <v>11.2</v>
      </c>
      <c r="F87" s="107"/>
      <c r="G87" s="107"/>
    </row>
    <row r="88" spans="1:7" ht="24" x14ac:dyDescent="0.25">
      <c r="A88" s="164" t="s">
        <v>290</v>
      </c>
      <c r="B88" s="265" t="s">
        <v>241</v>
      </c>
      <c r="C88" s="169"/>
      <c r="D88" s="461">
        <f>SUM(D89)</f>
        <v>26.6</v>
      </c>
      <c r="E88" s="391">
        <f>SUM(E89)</f>
        <v>7.8</v>
      </c>
      <c r="F88" s="107"/>
      <c r="G88" s="107"/>
    </row>
    <row r="89" spans="1:7" x14ac:dyDescent="0.25">
      <c r="A89" s="154" t="s">
        <v>291</v>
      </c>
      <c r="B89" s="163" t="s">
        <v>234</v>
      </c>
      <c r="C89" s="156"/>
      <c r="D89" s="326">
        <v>26.6</v>
      </c>
      <c r="E89" s="328">
        <v>7.8</v>
      </c>
      <c r="F89" s="107"/>
      <c r="G89" s="107"/>
    </row>
    <row r="90" spans="1:7" s="296" customFormat="1" x14ac:dyDescent="0.25">
      <c r="A90" s="157" t="s">
        <v>112</v>
      </c>
      <c r="B90" s="158" t="s">
        <v>113</v>
      </c>
      <c r="C90" s="158"/>
      <c r="D90" s="396">
        <f>SUM(D92+D97)</f>
        <v>1089.5</v>
      </c>
      <c r="E90" s="389">
        <f>SUM(E92+E97)</f>
        <v>967.80000000000007</v>
      </c>
      <c r="F90" s="105"/>
      <c r="G90" s="105"/>
    </row>
    <row r="91" spans="1:7" x14ac:dyDescent="0.25">
      <c r="A91" s="154"/>
      <c r="B91" s="156" t="s">
        <v>230</v>
      </c>
      <c r="C91" s="156"/>
      <c r="D91" s="393"/>
      <c r="E91" s="328"/>
      <c r="F91" s="107"/>
      <c r="G91" s="107"/>
    </row>
    <row r="92" spans="1:7" x14ac:dyDescent="0.25">
      <c r="A92" s="154" t="s">
        <v>292</v>
      </c>
      <c r="B92" s="161" t="s">
        <v>231</v>
      </c>
      <c r="C92" s="169" t="s">
        <v>232</v>
      </c>
      <c r="D92" s="384">
        <f>SUM(D93:D96)</f>
        <v>1074.3</v>
      </c>
      <c r="E92" s="391">
        <f>SUM(E93:E96)</f>
        <v>962.1</v>
      </c>
      <c r="F92" s="107"/>
      <c r="G92" s="107"/>
    </row>
    <row r="93" spans="1:7" x14ac:dyDescent="0.25">
      <c r="A93" s="154" t="s">
        <v>293</v>
      </c>
      <c r="B93" s="163" t="s">
        <v>234</v>
      </c>
      <c r="C93" s="169"/>
      <c r="D93" s="329">
        <v>330.4</v>
      </c>
      <c r="E93" s="328">
        <v>282.39999999999998</v>
      </c>
      <c r="F93" s="107"/>
      <c r="G93" s="107"/>
    </row>
    <row r="94" spans="1:7" x14ac:dyDescent="0.25">
      <c r="A94" s="164" t="s">
        <v>294</v>
      </c>
      <c r="B94" s="165" t="s">
        <v>236</v>
      </c>
      <c r="C94" s="156"/>
      <c r="D94" s="329">
        <v>711.7</v>
      </c>
      <c r="E94" s="328">
        <v>678.2</v>
      </c>
      <c r="F94" s="107"/>
      <c r="G94" s="107"/>
    </row>
    <row r="95" spans="1:7" x14ac:dyDescent="0.25">
      <c r="A95" s="164" t="s">
        <v>295</v>
      </c>
      <c r="B95" s="165" t="s">
        <v>250</v>
      </c>
      <c r="C95" s="156"/>
      <c r="D95" s="329">
        <v>1.5</v>
      </c>
      <c r="E95" s="328">
        <v>1.5</v>
      </c>
      <c r="F95" s="107"/>
      <c r="G95" s="107"/>
    </row>
    <row r="96" spans="1:7" x14ac:dyDescent="0.25">
      <c r="A96" s="164" t="s">
        <v>296</v>
      </c>
      <c r="B96" s="165" t="s">
        <v>240</v>
      </c>
      <c r="C96" s="156"/>
      <c r="D96" s="329">
        <v>30.7</v>
      </c>
      <c r="E96" s="328"/>
      <c r="F96" s="107"/>
      <c r="G96" s="107"/>
    </row>
    <row r="97" spans="1:7" ht="24" x14ac:dyDescent="0.25">
      <c r="A97" s="164" t="s">
        <v>297</v>
      </c>
      <c r="B97" s="265" t="s">
        <v>241</v>
      </c>
      <c r="C97" s="169"/>
      <c r="D97" s="384">
        <f>SUM(D98)</f>
        <v>15.2</v>
      </c>
      <c r="E97" s="391">
        <f>SUM(E98)</f>
        <v>5.7</v>
      </c>
      <c r="F97" s="107"/>
      <c r="G97" s="107"/>
    </row>
    <row r="98" spans="1:7" ht="14.4" customHeight="1" x14ac:dyDescent="0.25">
      <c r="A98" s="154" t="s">
        <v>298</v>
      </c>
      <c r="B98" s="163" t="s">
        <v>234</v>
      </c>
      <c r="C98" s="156"/>
      <c r="D98" s="385">
        <v>15.2</v>
      </c>
      <c r="E98" s="392">
        <v>5.7</v>
      </c>
      <c r="F98" s="107"/>
      <c r="G98" s="107"/>
    </row>
    <row r="99" spans="1:7" s="296" customFormat="1" x14ac:dyDescent="0.25">
      <c r="A99" s="157" t="s">
        <v>114</v>
      </c>
      <c r="B99" s="158" t="s">
        <v>115</v>
      </c>
      <c r="C99" s="158"/>
      <c r="D99" s="393">
        <f>SUM(D101+D106)</f>
        <v>1540.4</v>
      </c>
      <c r="E99" s="390">
        <f>SUM(E101+E106)</f>
        <v>1317.2</v>
      </c>
      <c r="F99" s="105"/>
      <c r="G99" s="105"/>
    </row>
    <row r="100" spans="1:7" x14ac:dyDescent="0.25">
      <c r="A100" s="154"/>
      <c r="B100" s="156" t="s">
        <v>230</v>
      </c>
      <c r="C100" s="156"/>
      <c r="D100" s="393"/>
      <c r="E100" s="328"/>
      <c r="F100" s="107"/>
      <c r="G100" s="107"/>
    </row>
    <row r="101" spans="1:7" x14ac:dyDescent="0.25">
      <c r="A101" s="154" t="s">
        <v>299</v>
      </c>
      <c r="B101" s="161" t="s">
        <v>231</v>
      </c>
      <c r="C101" s="169" t="s">
        <v>232</v>
      </c>
      <c r="D101" s="384">
        <f>SUM(D102:D105)</f>
        <v>1529.8000000000002</v>
      </c>
      <c r="E101" s="391">
        <f>SUM(E102:E105)</f>
        <v>1315</v>
      </c>
      <c r="F101" s="107"/>
      <c r="G101" s="107"/>
    </row>
    <row r="102" spans="1:7" x14ac:dyDescent="0.25">
      <c r="A102" s="154" t="s">
        <v>300</v>
      </c>
      <c r="B102" s="163" t="s">
        <v>234</v>
      </c>
      <c r="C102" s="169"/>
      <c r="D102" s="329">
        <v>723.7</v>
      </c>
      <c r="E102" s="328">
        <v>596.5</v>
      </c>
      <c r="F102" s="107"/>
      <c r="G102" s="107"/>
    </row>
    <row r="103" spans="1:7" x14ac:dyDescent="0.25">
      <c r="A103" s="164" t="s">
        <v>301</v>
      </c>
      <c r="B103" s="165" t="s">
        <v>236</v>
      </c>
      <c r="C103" s="156"/>
      <c r="D103" s="329">
        <v>739.1</v>
      </c>
      <c r="E103" s="328">
        <v>707.9</v>
      </c>
      <c r="F103" s="107"/>
      <c r="G103" s="107"/>
    </row>
    <row r="104" spans="1:7" x14ac:dyDescent="0.25">
      <c r="A104" s="164" t="s">
        <v>302</v>
      </c>
      <c r="B104" s="165" t="s">
        <v>250</v>
      </c>
      <c r="C104" s="156"/>
      <c r="D104" s="329">
        <v>1.5</v>
      </c>
      <c r="E104" s="328">
        <v>1.5</v>
      </c>
      <c r="F104" s="107"/>
      <c r="G104" s="107"/>
    </row>
    <row r="105" spans="1:7" x14ac:dyDescent="0.25">
      <c r="A105" s="164" t="s">
        <v>303</v>
      </c>
      <c r="B105" s="165" t="s">
        <v>240</v>
      </c>
      <c r="C105" s="156"/>
      <c r="D105" s="329">
        <v>65.5</v>
      </c>
      <c r="E105" s="328">
        <v>9.1</v>
      </c>
      <c r="F105" s="107"/>
      <c r="G105" s="107"/>
    </row>
    <row r="106" spans="1:7" ht="24" x14ac:dyDescent="0.25">
      <c r="A106" s="164" t="s">
        <v>304</v>
      </c>
      <c r="B106" s="265" t="s">
        <v>241</v>
      </c>
      <c r="C106" s="169"/>
      <c r="D106" s="384">
        <f>SUM(D107)</f>
        <v>10.6</v>
      </c>
      <c r="E106" s="391">
        <f>SUM(E107)</f>
        <v>2.2000000000000002</v>
      </c>
      <c r="F106" s="107"/>
      <c r="G106" s="107"/>
    </row>
    <row r="107" spans="1:7" x14ac:dyDescent="0.25">
      <c r="A107" s="154" t="s">
        <v>305</v>
      </c>
      <c r="B107" s="163" t="s">
        <v>234</v>
      </c>
      <c r="C107" s="156"/>
      <c r="D107" s="329">
        <v>10.6</v>
      </c>
      <c r="E107" s="328">
        <v>2.2000000000000002</v>
      </c>
      <c r="F107" s="107"/>
      <c r="G107" s="107"/>
    </row>
    <row r="108" spans="1:7" s="296" customFormat="1" x14ac:dyDescent="0.25">
      <c r="A108" s="178" t="s">
        <v>116</v>
      </c>
      <c r="B108" s="179" t="s">
        <v>117</v>
      </c>
      <c r="C108" s="180"/>
      <c r="D108" s="381">
        <f>SUM(D110+D115+D118)</f>
        <v>1231.8</v>
      </c>
      <c r="E108" s="389">
        <f>SUM(E110+E115+E118)</f>
        <v>1110.1999999999998</v>
      </c>
      <c r="F108" s="105"/>
      <c r="G108" s="105"/>
    </row>
    <row r="109" spans="1:7" x14ac:dyDescent="0.25">
      <c r="A109" s="176"/>
      <c r="B109" s="156" t="s">
        <v>230</v>
      </c>
      <c r="C109" s="160"/>
      <c r="D109" s="387"/>
      <c r="E109" s="328"/>
      <c r="F109" s="107"/>
      <c r="G109" s="107"/>
    </row>
    <row r="110" spans="1:7" x14ac:dyDescent="0.25">
      <c r="A110" s="181" t="s">
        <v>306</v>
      </c>
      <c r="B110" s="161" t="s">
        <v>231</v>
      </c>
      <c r="C110" s="162" t="s">
        <v>232</v>
      </c>
      <c r="D110" s="382">
        <f>SUM(D111:D114)</f>
        <v>676.3</v>
      </c>
      <c r="E110" s="391">
        <f>SUM(E111:E114)</f>
        <v>587.5</v>
      </c>
      <c r="F110" s="107"/>
      <c r="G110" s="107"/>
    </row>
    <row r="111" spans="1:7" x14ac:dyDescent="0.25">
      <c r="A111" s="181" t="s">
        <v>307</v>
      </c>
      <c r="B111" s="163" t="s">
        <v>234</v>
      </c>
      <c r="C111" s="162"/>
      <c r="D111" s="326">
        <v>281</v>
      </c>
      <c r="E111" s="328">
        <v>217.5</v>
      </c>
      <c r="F111" s="107"/>
      <c r="G111" s="107"/>
    </row>
    <row r="112" spans="1:7" x14ac:dyDescent="0.25">
      <c r="A112" s="177" t="s">
        <v>308</v>
      </c>
      <c r="B112" s="165" t="s">
        <v>236</v>
      </c>
      <c r="C112" s="160"/>
      <c r="D112" s="326">
        <v>378.5</v>
      </c>
      <c r="E112" s="328">
        <v>366.3</v>
      </c>
      <c r="F112" s="107"/>
      <c r="G112" s="107"/>
    </row>
    <row r="113" spans="1:7" x14ac:dyDescent="0.25">
      <c r="A113" s="177" t="s">
        <v>309</v>
      </c>
      <c r="B113" s="165" t="s">
        <v>250</v>
      </c>
      <c r="C113" s="160"/>
      <c r="D113" s="326">
        <v>1.5</v>
      </c>
      <c r="E113" s="328">
        <v>1.5</v>
      </c>
      <c r="F113" s="107"/>
      <c r="G113" s="107"/>
    </row>
    <row r="114" spans="1:7" x14ac:dyDescent="0.25">
      <c r="A114" s="181" t="s">
        <v>310</v>
      </c>
      <c r="B114" s="163" t="s">
        <v>240</v>
      </c>
      <c r="C114" s="160"/>
      <c r="D114" s="326">
        <v>15.3</v>
      </c>
      <c r="E114" s="328">
        <v>2.2000000000000002</v>
      </c>
      <c r="F114" s="107"/>
      <c r="G114" s="107"/>
    </row>
    <row r="115" spans="1:7" x14ac:dyDescent="0.25">
      <c r="A115" s="181" t="s">
        <v>311</v>
      </c>
      <c r="B115" s="182" t="s">
        <v>312</v>
      </c>
      <c r="C115" s="169" t="s">
        <v>112</v>
      </c>
      <c r="D115" s="382">
        <f>SUM(D116+D117)</f>
        <v>546.20000000000005</v>
      </c>
      <c r="E115" s="391">
        <f>SUM(E116+E117)</f>
        <v>520.6</v>
      </c>
      <c r="F115" s="107"/>
      <c r="G115" s="107"/>
    </row>
    <row r="116" spans="1:7" x14ac:dyDescent="0.25">
      <c r="A116" s="181" t="s">
        <v>313</v>
      </c>
      <c r="B116" s="163" t="s">
        <v>234</v>
      </c>
      <c r="C116" s="156"/>
      <c r="D116" s="326">
        <v>544.70000000000005</v>
      </c>
      <c r="E116" s="328">
        <v>519.1</v>
      </c>
      <c r="F116" s="107"/>
      <c r="G116" s="107"/>
    </row>
    <row r="117" spans="1:7" x14ac:dyDescent="0.25">
      <c r="A117" s="181" t="s">
        <v>314</v>
      </c>
      <c r="B117" s="163" t="s">
        <v>250</v>
      </c>
      <c r="C117" s="160"/>
      <c r="D117" s="326">
        <v>1.5</v>
      </c>
      <c r="E117" s="328">
        <v>1.5</v>
      </c>
      <c r="F117" s="107"/>
      <c r="G117" s="107"/>
    </row>
    <row r="118" spans="1:7" ht="24" x14ac:dyDescent="0.25">
      <c r="A118" s="177" t="s">
        <v>315</v>
      </c>
      <c r="B118" s="265" t="s">
        <v>241</v>
      </c>
      <c r="C118" s="162" t="s">
        <v>232</v>
      </c>
      <c r="D118" s="382">
        <f>SUM(D119)</f>
        <v>9.3000000000000007</v>
      </c>
      <c r="E118" s="391">
        <f>SUM(E119)</f>
        <v>2.1</v>
      </c>
      <c r="F118" s="107"/>
      <c r="G118" s="107"/>
    </row>
    <row r="119" spans="1:7" x14ac:dyDescent="0.25">
      <c r="A119" s="320" t="s">
        <v>316</v>
      </c>
      <c r="B119" s="304" t="s">
        <v>234</v>
      </c>
      <c r="C119" s="305"/>
      <c r="D119" s="394">
        <v>9.3000000000000007</v>
      </c>
      <c r="E119" s="392">
        <v>2.1</v>
      </c>
      <c r="F119" s="107"/>
      <c r="G119" s="107"/>
    </row>
    <row r="120" spans="1:7" s="296" customFormat="1" x14ac:dyDescent="0.25">
      <c r="A120" s="175" t="s">
        <v>118</v>
      </c>
      <c r="B120" s="168" t="s">
        <v>119</v>
      </c>
      <c r="C120" s="168"/>
      <c r="D120" s="393">
        <f>SUM(D122+D127)</f>
        <v>1158.6000000000001</v>
      </c>
      <c r="E120" s="390">
        <f>SUM(E122+E127)</f>
        <v>968</v>
      </c>
      <c r="F120" s="105"/>
      <c r="G120" s="105"/>
    </row>
    <row r="121" spans="1:7" x14ac:dyDescent="0.25">
      <c r="A121" s="154"/>
      <c r="B121" s="156" t="s">
        <v>230</v>
      </c>
      <c r="C121" s="156"/>
      <c r="D121" s="393"/>
      <c r="E121" s="328"/>
      <c r="F121" s="107"/>
      <c r="G121" s="107"/>
    </row>
    <row r="122" spans="1:7" x14ac:dyDescent="0.25">
      <c r="A122" s="154" t="s">
        <v>317</v>
      </c>
      <c r="B122" s="161" t="s">
        <v>231</v>
      </c>
      <c r="C122" s="169" t="s">
        <v>232</v>
      </c>
      <c r="D122" s="384">
        <f>SUM(D123:D126)</f>
        <v>1148.1000000000001</v>
      </c>
      <c r="E122" s="391">
        <f>SUM(E123:E126)</f>
        <v>967</v>
      </c>
      <c r="F122" s="107"/>
      <c r="G122" s="107"/>
    </row>
    <row r="123" spans="1:7" x14ac:dyDescent="0.25">
      <c r="A123" s="154" t="s">
        <v>318</v>
      </c>
      <c r="B123" s="163" t="s">
        <v>234</v>
      </c>
      <c r="C123" s="169"/>
      <c r="D123" s="329">
        <v>461</v>
      </c>
      <c r="E123" s="328">
        <v>337.6</v>
      </c>
      <c r="F123" s="107"/>
      <c r="G123" s="107"/>
    </row>
    <row r="124" spans="1:7" x14ac:dyDescent="0.25">
      <c r="A124" s="164" t="s">
        <v>319</v>
      </c>
      <c r="B124" s="165" t="s">
        <v>236</v>
      </c>
      <c r="C124" s="156"/>
      <c r="D124" s="329">
        <v>649.70000000000005</v>
      </c>
      <c r="E124" s="328">
        <v>624.4</v>
      </c>
      <c r="F124" s="107"/>
      <c r="G124" s="107"/>
    </row>
    <row r="125" spans="1:7" ht="12.75" customHeight="1" x14ac:dyDescent="0.25">
      <c r="A125" s="164" t="s">
        <v>320</v>
      </c>
      <c r="B125" s="165" t="s">
        <v>250</v>
      </c>
      <c r="C125" s="156"/>
      <c r="D125" s="329">
        <v>1.5</v>
      </c>
      <c r="E125" s="328">
        <v>1.5</v>
      </c>
      <c r="F125" s="107"/>
      <c r="G125" s="107"/>
    </row>
    <row r="126" spans="1:7" ht="14.4" customHeight="1" x14ac:dyDescent="0.25">
      <c r="A126" s="154" t="s">
        <v>321</v>
      </c>
      <c r="B126" s="163" t="s">
        <v>240</v>
      </c>
      <c r="C126" s="156"/>
      <c r="D126" s="329">
        <v>35.9</v>
      </c>
      <c r="E126" s="328">
        <v>3.5</v>
      </c>
      <c r="F126" s="107"/>
      <c r="G126" s="107"/>
    </row>
    <row r="127" spans="1:7" ht="22.5" customHeight="1" x14ac:dyDescent="0.25">
      <c r="A127" s="154" t="s">
        <v>322</v>
      </c>
      <c r="B127" s="265" t="s">
        <v>241</v>
      </c>
      <c r="C127" s="169"/>
      <c r="D127" s="384">
        <f>SUM(D128)</f>
        <v>10.5</v>
      </c>
      <c r="E127" s="391">
        <f>SUM(E128)</f>
        <v>1</v>
      </c>
      <c r="F127" s="107"/>
      <c r="G127" s="107"/>
    </row>
    <row r="128" spans="1:7" x14ac:dyDescent="0.25">
      <c r="A128" s="164" t="s">
        <v>323</v>
      </c>
      <c r="B128" s="165" t="s">
        <v>234</v>
      </c>
      <c r="C128" s="170"/>
      <c r="D128" s="398">
        <v>10.5</v>
      </c>
      <c r="E128" s="392">
        <v>1</v>
      </c>
      <c r="F128" s="107"/>
      <c r="G128" s="107"/>
    </row>
    <row r="129" spans="1:8" s="296" customFormat="1" x14ac:dyDescent="0.25">
      <c r="A129" s="157" t="s">
        <v>120</v>
      </c>
      <c r="B129" s="158" t="s">
        <v>121</v>
      </c>
      <c r="C129" s="158"/>
      <c r="D129" s="393">
        <f>SUM(D131+D136)</f>
        <v>1854.3999999999999</v>
      </c>
      <c r="E129" s="390">
        <f>SUM(E131+E136)</f>
        <v>1532.6000000000001</v>
      </c>
      <c r="F129" s="105"/>
      <c r="G129" s="105"/>
    </row>
    <row r="130" spans="1:8" x14ac:dyDescent="0.25">
      <c r="A130" s="154"/>
      <c r="B130" s="156" t="s">
        <v>230</v>
      </c>
      <c r="C130" s="156"/>
      <c r="D130" s="393"/>
      <c r="E130" s="328"/>
      <c r="F130" s="107"/>
      <c r="G130" s="107"/>
    </row>
    <row r="131" spans="1:8" x14ac:dyDescent="0.25">
      <c r="A131" s="154" t="s">
        <v>324</v>
      </c>
      <c r="B131" s="161" t="s">
        <v>231</v>
      </c>
      <c r="C131" s="169" t="s">
        <v>232</v>
      </c>
      <c r="D131" s="384">
        <f>SUM(D132:D135)</f>
        <v>1837.3999999999999</v>
      </c>
      <c r="E131" s="391">
        <f>SUM(E132:E135)</f>
        <v>1525.8000000000002</v>
      </c>
      <c r="F131" s="107"/>
      <c r="G131" s="107"/>
    </row>
    <row r="132" spans="1:8" x14ac:dyDescent="0.25">
      <c r="A132" s="154" t="s">
        <v>325</v>
      </c>
      <c r="B132" s="163" t="s">
        <v>234</v>
      </c>
      <c r="C132" s="169"/>
      <c r="D132" s="329">
        <v>918.8</v>
      </c>
      <c r="E132" s="328">
        <v>719</v>
      </c>
      <c r="F132" s="107"/>
      <c r="G132" s="107"/>
    </row>
    <row r="133" spans="1:8" x14ac:dyDescent="0.25">
      <c r="A133" s="164" t="s">
        <v>326</v>
      </c>
      <c r="B133" s="165" t="s">
        <v>236</v>
      </c>
      <c r="C133" s="156"/>
      <c r="D133" s="329">
        <v>829.5</v>
      </c>
      <c r="E133" s="328">
        <v>793.9</v>
      </c>
      <c r="F133" s="107"/>
      <c r="G133" s="107"/>
    </row>
    <row r="134" spans="1:8" ht="12.75" customHeight="1" x14ac:dyDescent="0.25">
      <c r="A134" s="164" t="s">
        <v>327</v>
      </c>
      <c r="B134" s="165" t="s">
        <v>250</v>
      </c>
      <c r="C134" s="156"/>
      <c r="D134" s="329">
        <v>1.5</v>
      </c>
      <c r="E134" s="328">
        <v>1.5</v>
      </c>
      <c r="F134" s="107"/>
      <c r="G134" s="107"/>
    </row>
    <row r="135" spans="1:8" x14ac:dyDescent="0.25">
      <c r="A135" s="154" t="s">
        <v>328</v>
      </c>
      <c r="B135" s="163" t="s">
        <v>240</v>
      </c>
      <c r="C135" s="156"/>
      <c r="D135" s="329">
        <v>87.6</v>
      </c>
      <c r="E135" s="328">
        <v>11.4</v>
      </c>
      <c r="F135" s="107"/>
      <c r="G135" s="107"/>
    </row>
    <row r="136" spans="1:8" ht="24" x14ac:dyDescent="0.25">
      <c r="A136" s="154" t="s">
        <v>329</v>
      </c>
      <c r="B136" s="321" t="s">
        <v>241</v>
      </c>
      <c r="C136" s="156"/>
      <c r="D136" s="382">
        <f>SUM(D137)</f>
        <v>17</v>
      </c>
      <c r="E136" s="391">
        <f>SUM(E137)</f>
        <v>6.8</v>
      </c>
      <c r="F136" s="107"/>
      <c r="G136" s="107"/>
    </row>
    <row r="137" spans="1:8" x14ac:dyDescent="0.25">
      <c r="A137" s="154" t="s">
        <v>330</v>
      </c>
      <c r="B137" s="165" t="s">
        <v>234</v>
      </c>
      <c r="C137" s="160"/>
      <c r="D137" s="326">
        <v>17</v>
      </c>
      <c r="E137" s="328">
        <v>6.8</v>
      </c>
      <c r="F137" s="107"/>
      <c r="G137" s="107"/>
    </row>
    <row r="138" spans="1:8" s="296" customFormat="1" x14ac:dyDescent="0.25">
      <c r="A138" s="157" t="s">
        <v>122</v>
      </c>
      <c r="B138" s="183" t="s">
        <v>331</v>
      </c>
      <c r="C138" s="159"/>
      <c r="D138" s="381">
        <f>SUM(D140+D145)</f>
        <v>1079.8999999999999</v>
      </c>
      <c r="E138" s="389">
        <f>SUM(E140+E145)</f>
        <v>895.39999999999986</v>
      </c>
      <c r="F138" s="105"/>
      <c r="G138" s="105"/>
    </row>
    <row r="139" spans="1:8" x14ac:dyDescent="0.25">
      <c r="A139" s="154"/>
      <c r="B139" s="156" t="s">
        <v>230</v>
      </c>
      <c r="C139" s="160"/>
      <c r="D139" s="387"/>
      <c r="E139" s="328"/>
      <c r="F139" s="107"/>
      <c r="G139" s="107"/>
    </row>
    <row r="140" spans="1:8" x14ac:dyDescent="0.25">
      <c r="A140" s="154" t="s">
        <v>332</v>
      </c>
      <c r="B140" s="161" t="s">
        <v>231</v>
      </c>
      <c r="C140" s="162" t="s">
        <v>232</v>
      </c>
      <c r="D140" s="382">
        <f>SUM(D141:D144)</f>
        <v>1069.0999999999999</v>
      </c>
      <c r="E140" s="391">
        <f>SUM(E141:E144)</f>
        <v>891.09999999999991</v>
      </c>
      <c r="F140" s="107"/>
      <c r="G140" s="107"/>
    </row>
    <row r="141" spans="1:8" x14ac:dyDescent="0.25">
      <c r="A141" s="154" t="s">
        <v>333</v>
      </c>
      <c r="B141" s="163" t="s">
        <v>234</v>
      </c>
      <c r="C141" s="162"/>
      <c r="D141" s="326">
        <v>565.4</v>
      </c>
      <c r="E141" s="328">
        <v>450</v>
      </c>
      <c r="F141" s="107"/>
      <c r="G141" s="107"/>
    </row>
    <row r="142" spans="1:8" x14ac:dyDescent="0.25">
      <c r="A142" s="164" t="s">
        <v>334</v>
      </c>
      <c r="B142" s="165" t="s">
        <v>236</v>
      </c>
      <c r="C142" s="160"/>
      <c r="D142" s="326">
        <v>450.2</v>
      </c>
      <c r="E142" s="328">
        <v>431.3</v>
      </c>
      <c r="F142" s="107"/>
      <c r="G142" s="107"/>
    </row>
    <row r="143" spans="1:8" ht="12.75" customHeight="1" x14ac:dyDescent="0.25">
      <c r="A143" s="164" t="s">
        <v>335</v>
      </c>
      <c r="B143" s="165" t="s">
        <v>250</v>
      </c>
      <c r="C143" s="160"/>
      <c r="D143" s="326">
        <v>1.5</v>
      </c>
      <c r="E143" s="328">
        <v>1.5</v>
      </c>
      <c r="F143" s="107"/>
      <c r="G143" s="107"/>
    </row>
    <row r="144" spans="1:8" x14ac:dyDescent="0.25">
      <c r="A144" s="154" t="s">
        <v>336</v>
      </c>
      <c r="B144" s="163" t="s">
        <v>240</v>
      </c>
      <c r="C144" s="160"/>
      <c r="D144" s="326">
        <v>52</v>
      </c>
      <c r="E144" s="328">
        <v>8.3000000000000007</v>
      </c>
      <c r="F144" s="107"/>
      <c r="G144" s="109"/>
      <c r="H144" s="109"/>
    </row>
    <row r="145" spans="1:8" ht="24" x14ac:dyDescent="0.25">
      <c r="A145" s="164" t="s">
        <v>337</v>
      </c>
      <c r="B145" s="265" t="s">
        <v>241</v>
      </c>
      <c r="C145" s="160"/>
      <c r="D145" s="382">
        <f>SUM(D146)</f>
        <v>10.8</v>
      </c>
      <c r="E145" s="391">
        <f>SUM(E146)</f>
        <v>4.3</v>
      </c>
      <c r="F145" s="107"/>
      <c r="G145" s="109"/>
      <c r="H145" s="109"/>
    </row>
    <row r="146" spans="1:8" x14ac:dyDescent="0.25">
      <c r="A146" s="154" t="s">
        <v>338</v>
      </c>
      <c r="B146" s="165" t="s">
        <v>234</v>
      </c>
      <c r="C146" s="160"/>
      <c r="D146" s="326">
        <v>10.8</v>
      </c>
      <c r="E146" s="328">
        <v>4.3</v>
      </c>
      <c r="F146" s="107"/>
      <c r="G146" s="109"/>
      <c r="H146" s="109"/>
    </row>
    <row r="147" spans="1:8" s="296" customFormat="1" x14ac:dyDescent="0.25">
      <c r="A147" s="157" t="s">
        <v>124</v>
      </c>
      <c r="B147" s="158" t="s">
        <v>125</v>
      </c>
      <c r="C147" s="159"/>
      <c r="D147" s="381">
        <f>SUM(D149+D154)</f>
        <v>1342.8000000000002</v>
      </c>
      <c r="E147" s="452">
        <f>SUM(E149+E154)</f>
        <v>1175.6999999999998</v>
      </c>
      <c r="F147" s="105"/>
      <c r="G147" s="105"/>
      <c r="H147" s="105"/>
    </row>
    <row r="148" spans="1:8" x14ac:dyDescent="0.25">
      <c r="A148" s="154"/>
      <c r="B148" s="156" t="s">
        <v>230</v>
      </c>
      <c r="C148" s="172"/>
      <c r="D148" s="387"/>
      <c r="E148" s="328"/>
      <c r="F148" s="107"/>
      <c r="G148" s="107"/>
    </row>
    <row r="149" spans="1:8" x14ac:dyDescent="0.25">
      <c r="A149" s="154" t="s">
        <v>339</v>
      </c>
      <c r="B149" s="161" t="s">
        <v>231</v>
      </c>
      <c r="C149" s="162" t="s">
        <v>232</v>
      </c>
      <c r="D149" s="382">
        <f>SUM(D150:D153)</f>
        <v>1327.8000000000002</v>
      </c>
      <c r="E149" s="391">
        <f>SUM(E150:E153)</f>
        <v>1168.4999999999998</v>
      </c>
      <c r="F149" s="107"/>
      <c r="G149" s="107"/>
    </row>
    <row r="150" spans="1:8" x14ac:dyDescent="0.25">
      <c r="A150" s="154" t="s">
        <v>340</v>
      </c>
      <c r="B150" s="163" t="s">
        <v>234</v>
      </c>
      <c r="C150" s="162"/>
      <c r="D150" s="326">
        <v>833.6</v>
      </c>
      <c r="E150" s="328">
        <v>755.9</v>
      </c>
      <c r="F150" s="107"/>
      <c r="G150" s="107"/>
    </row>
    <row r="151" spans="1:8" x14ac:dyDescent="0.25">
      <c r="A151" s="164" t="s">
        <v>341</v>
      </c>
      <c r="B151" s="165" t="s">
        <v>236</v>
      </c>
      <c r="C151" s="172"/>
      <c r="D151" s="326">
        <v>389.8</v>
      </c>
      <c r="E151" s="328">
        <v>371.4</v>
      </c>
      <c r="F151" s="107"/>
      <c r="G151" s="107"/>
    </row>
    <row r="152" spans="1:8" x14ac:dyDescent="0.25">
      <c r="A152" s="164" t="s">
        <v>342</v>
      </c>
      <c r="B152" s="165" t="s">
        <v>250</v>
      </c>
      <c r="C152" s="172"/>
      <c r="D152" s="326">
        <f>1.5+26</f>
        <v>27.5</v>
      </c>
      <c r="E152" s="328">
        <f>1.5+25.6</f>
        <v>27.1</v>
      </c>
      <c r="F152" s="107"/>
      <c r="G152" s="107"/>
    </row>
    <row r="153" spans="1:8" x14ac:dyDescent="0.25">
      <c r="A153" s="154" t="s">
        <v>343</v>
      </c>
      <c r="B153" s="163" t="s">
        <v>240</v>
      </c>
      <c r="C153" s="184"/>
      <c r="D153" s="326">
        <v>76.900000000000006</v>
      </c>
      <c r="E153" s="327">
        <v>14.1</v>
      </c>
      <c r="F153" s="107"/>
      <c r="G153" s="107"/>
    </row>
    <row r="154" spans="1:8" ht="24" x14ac:dyDescent="0.25">
      <c r="A154" s="154" t="s">
        <v>344</v>
      </c>
      <c r="B154" s="241" t="s">
        <v>241</v>
      </c>
      <c r="C154" s="196"/>
      <c r="D154" s="382">
        <f>SUM(D155)</f>
        <v>15</v>
      </c>
      <c r="E154" s="383">
        <f>SUM(E155)</f>
        <v>7.2</v>
      </c>
      <c r="F154" s="107"/>
      <c r="G154" s="107"/>
    </row>
    <row r="155" spans="1:8" x14ac:dyDescent="0.25">
      <c r="A155" s="164" t="s">
        <v>345</v>
      </c>
      <c r="B155" s="151" t="s">
        <v>234</v>
      </c>
      <c r="C155" s="184"/>
      <c r="D155" s="398">
        <v>15</v>
      </c>
      <c r="E155" s="327">
        <v>7.2</v>
      </c>
      <c r="F155" s="107"/>
      <c r="G155" s="107"/>
    </row>
    <row r="156" spans="1:8" s="296" customFormat="1" x14ac:dyDescent="0.25">
      <c r="A156" s="157" t="s">
        <v>126</v>
      </c>
      <c r="B156" s="158" t="s">
        <v>127</v>
      </c>
      <c r="C156" s="158"/>
      <c r="D156" s="393">
        <f>SUM(D158+D163)</f>
        <v>1430.9</v>
      </c>
      <c r="E156" s="397">
        <f>SUM(E158+E163)</f>
        <v>1239.6000000000001</v>
      </c>
      <c r="F156" s="105"/>
      <c r="G156" s="105"/>
    </row>
    <row r="157" spans="1:8" x14ac:dyDescent="0.25">
      <c r="A157" s="154"/>
      <c r="B157" s="156" t="s">
        <v>230</v>
      </c>
      <c r="C157" s="184"/>
      <c r="D157" s="393"/>
      <c r="E157" s="327"/>
      <c r="F157" s="107"/>
      <c r="G157" s="107"/>
    </row>
    <row r="158" spans="1:8" x14ac:dyDescent="0.25">
      <c r="A158" s="154" t="s">
        <v>346</v>
      </c>
      <c r="B158" s="161" t="s">
        <v>231</v>
      </c>
      <c r="C158" s="169" t="s">
        <v>232</v>
      </c>
      <c r="D158" s="384">
        <f>SUM(D159:D162)</f>
        <v>1416.4</v>
      </c>
      <c r="E158" s="391">
        <f>SUM(E159:E162)</f>
        <v>1234.9000000000001</v>
      </c>
      <c r="F158" s="107"/>
      <c r="G158" s="107"/>
    </row>
    <row r="159" spans="1:8" x14ac:dyDescent="0.25">
      <c r="A159" s="154" t="s">
        <v>347</v>
      </c>
      <c r="B159" s="163" t="s">
        <v>234</v>
      </c>
      <c r="C159" s="169"/>
      <c r="D159" s="329">
        <v>865.6</v>
      </c>
      <c r="E159" s="328">
        <v>784.4</v>
      </c>
      <c r="F159" s="107"/>
      <c r="G159" s="107"/>
    </row>
    <row r="160" spans="1:8" x14ac:dyDescent="0.25">
      <c r="A160" s="164" t="s">
        <v>348</v>
      </c>
      <c r="B160" s="165" t="s">
        <v>236</v>
      </c>
      <c r="C160" s="184"/>
      <c r="D160" s="329">
        <v>428.4</v>
      </c>
      <c r="E160" s="328">
        <v>409.8</v>
      </c>
      <c r="F160" s="107"/>
      <c r="G160" s="107"/>
    </row>
    <row r="161" spans="1:7" x14ac:dyDescent="0.25">
      <c r="A161" s="164" t="s">
        <v>349</v>
      </c>
      <c r="B161" s="165" t="s">
        <v>250</v>
      </c>
      <c r="C161" s="184"/>
      <c r="D161" s="329">
        <f>1.5+22.7</f>
        <v>24.2</v>
      </c>
      <c r="E161" s="328">
        <f>1.5+22.4</f>
        <v>23.9</v>
      </c>
      <c r="F161" s="107"/>
      <c r="G161" s="107"/>
    </row>
    <row r="162" spans="1:7" x14ac:dyDescent="0.25">
      <c r="A162" s="154" t="s">
        <v>350</v>
      </c>
      <c r="B162" s="163" t="s">
        <v>240</v>
      </c>
      <c r="C162" s="184"/>
      <c r="D162" s="329">
        <v>98.2</v>
      </c>
      <c r="E162" s="328">
        <v>16.8</v>
      </c>
      <c r="F162" s="107"/>
      <c r="G162" s="107"/>
    </row>
    <row r="163" spans="1:7" ht="24" x14ac:dyDescent="0.25">
      <c r="A163" s="164" t="s">
        <v>351</v>
      </c>
      <c r="B163" s="265" t="s">
        <v>241</v>
      </c>
      <c r="C163" s="184"/>
      <c r="D163" s="384">
        <f>SUM(D164)</f>
        <v>14.5</v>
      </c>
      <c r="E163" s="391">
        <f>SUM(E164)</f>
        <v>4.7</v>
      </c>
      <c r="F163" s="107"/>
      <c r="G163" s="107"/>
    </row>
    <row r="164" spans="1:7" x14ac:dyDescent="0.25">
      <c r="A164" s="164" t="s">
        <v>352</v>
      </c>
      <c r="B164" s="185" t="s">
        <v>234</v>
      </c>
      <c r="C164" s="186"/>
      <c r="D164" s="398">
        <v>14.5</v>
      </c>
      <c r="E164" s="328">
        <v>4.7</v>
      </c>
      <c r="F164" s="107"/>
      <c r="G164" s="107"/>
    </row>
    <row r="165" spans="1:7" s="296" customFormat="1" x14ac:dyDescent="0.25">
      <c r="A165" s="157" t="s">
        <v>128</v>
      </c>
      <c r="B165" s="158" t="s">
        <v>129</v>
      </c>
      <c r="C165" s="159"/>
      <c r="D165" s="381">
        <f>SUM(D167+D172)</f>
        <v>1313.1999999999998</v>
      </c>
      <c r="E165" s="452">
        <f>SUM(E167+E172)</f>
        <v>1152.0999999999997</v>
      </c>
      <c r="F165" s="105"/>
      <c r="G165" s="105"/>
    </row>
    <row r="166" spans="1:7" x14ac:dyDescent="0.25">
      <c r="A166" s="154"/>
      <c r="B166" s="156" t="s">
        <v>230</v>
      </c>
      <c r="C166" s="172"/>
      <c r="D166" s="387"/>
      <c r="E166" s="328"/>
      <c r="F166" s="107"/>
      <c r="G166" s="107"/>
    </row>
    <row r="167" spans="1:7" x14ac:dyDescent="0.25">
      <c r="A167" s="154" t="s">
        <v>353</v>
      </c>
      <c r="B167" s="161" t="s">
        <v>231</v>
      </c>
      <c r="C167" s="162" t="s">
        <v>232</v>
      </c>
      <c r="D167" s="382">
        <f>SUM(D168:D171)</f>
        <v>1302.8999999999999</v>
      </c>
      <c r="E167" s="391">
        <f>SUM(E168:E171)</f>
        <v>1148.9999999999998</v>
      </c>
      <c r="F167" s="107"/>
      <c r="G167" s="107"/>
    </row>
    <row r="168" spans="1:7" x14ac:dyDescent="0.25">
      <c r="A168" s="154" t="s">
        <v>354</v>
      </c>
      <c r="B168" s="163" t="s">
        <v>234</v>
      </c>
      <c r="C168" s="162"/>
      <c r="D168" s="326">
        <v>774.8</v>
      </c>
      <c r="E168" s="328">
        <v>711.8</v>
      </c>
      <c r="F168" s="107"/>
      <c r="G168" s="107"/>
    </row>
    <row r="169" spans="1:7" x14ac:dyDescent="0.25">
      <c r="A169" s="164" t="s">
        <v>355</v>
      </c>
      <c r="B169" s="165" t="s">
        <v>236</v>
      </c>
      <c r="C169" s="172"/>
      <c r="D169" s="326">
        <v>409.3</v>
      </c>
      <c r="E169" s="328">
        <v>393.8</v>
      </c>
      <c r="F169" s="107"/>
      <c r="G169" s="107"/>
    </row>
    <row r="170" spans="1:7" x14ac:dyDescent="0.25">
      <c r="A170" s="164" t="s">
        <v>356</v>
      </c>
      <c r="B170" s="165" t="s">
        <v>250</v>
      </c>
      <c r="C170" s="172"/>
      <c r="D170" s="326">
        <f>1.5+29.2</f>
        <v>30.7</v>
      </c>
      <c r="E170" s="328">
        <f>1.5+28.8</f>
        <v>30.3</v>
      </c>
      <c r="F170" s="107"/>
      <c r="G170" s="107"/>
    </row>
    <row r="171" spans="1:7" x14ac:dyDescent="0.25">
      <c r="A171" s="154" t="s">
        <v>357</v>
      </c>
      <c r="B171" s="163" t="s">
        <v>240</v>
      </c>
      <c r="C171" s="172"/>
      <c r="D171" s="326">
        <v>88.1</v>
      </c>
      <c r="E171" s="328">
        <v>13.1</v>
      </c>
      <c r="F171" s="107"/>
      <c r="G171" s="107"/>
    </row>
    <row r="172" spans="1:7" ht="24" x14ac:dyDescent="0.25">
      <c r="A172" s="154" t="s">
        <v>358</v>
      </c>
      <c r="B172" s="265" t="s">
        <v>241</v>
      </c>
      <c r="C172" s="172"/>
      <c r="D172" s="382">
        <f>SUM(D173)</f>
        <v>10.3</v>
      </c>
      <c r="E172" s="391">
        <f>SUM(E173)</f>
        <v>3.1</v>
      </c>
      <c r="F172" s="107"/>
      <c r="G172" s="107"/>
    </row>
    <row r="173" spans="1:7" x14ac:dyDescent="0.25">
      <c r="A173" s="164" t="s">
        <v>359</v>
      </c>
      <c r="B173" s="165" t="s">
        <v>234</v>
      </c>
      <c r="C173" s="172"/>
      <c r="D173" s="398">
        <v>10.3</v>
      </c>
      <c r="E173" s="328">
        <v>3.1</v>
      </c>
      <c r="F173" s="107"/>
      <c r="G173" s="107"/>
    </row>
    <row r="174" spans="1:7" s="296" customFormat="1" ht="12.75" customHeight="1" x14ac:dyDescent="0.25">
      <c r="A174" s="187" t="s">
        <v>130</v>
      </c>
      <c r="B174" s="188" t="s">
        <v>131</v>
      </c>
      <c r="C174" s="189"/>
      <c r="D174" s="393">
        <f>SUM(D176+D181)</f>
        <v>1521.3999999999999</v>
      </c>
      <c r="E174" s="452">
        <f>SUM(E176+E181)</f>
        <v>1330.8000000000002</v>
      </c>
      <c r="F174" s="105"/>
      <c r="G174" s="105"/>
    </row>
    <row r="175" spans="1:7" x14ac:dyDescent="0.25">
      <c r="A175" s="154"/>
      <c r="B175" s="156" t="s">
        <v>230</v>
      </c>
      <c r="C175" s="184"/>
      <c r="D175" s="393"/>
      <c r="E175" s="328"/>
      <c r="F175" s="107"/>
      <c r="G175" s="107"/>
    </row>
    <row r="176" spans="1:7" x14ac:dyDescent="0.25">
      <c r="A176" s="154" t="s">
        <v>360</v>
      </c>
      <c r="B176" s="161" t="s">
        <v>231</v>
      </c>
      <c r="C176" s="169" t="s">
        <v>232</v>
      </c>
      <c r="D176" s="384">
        <f>SUM(D177:D180)</f>
        <v>1502.6</v>
      </c>
      <c r="E176" s="391">
        <f>SUM(E177:E180)</f>
        <v>1322.4</v>
      </c>
      <c r="F176" s="107"/>
      <c r="G176" s="107"/>
    </row>
    <row r="177" spans="1:7" x14ac:dyDescent="0.25">
      <c r="A177" s="154" t="s">
        <v>361</v>
      </c>
      <c r="B177" s="163" t="s">
        <v>234</v>
      </c>
      <c r="C177" s="169"/>
      <c r="D177" s="329">
        <v>929.3</v>
      </c>
      <c r="E177" s="328">
        <v>843.2</v>
      </c>
      <c r="F177" s="107"/>
      <c r="G177" s="107"/>
    </row>
    <row r="178" spans="1:7" x14ac:dyDescent="0.25">
      <c r="A178" s="164" t="s">
        <v>362</v>
      </c>
      <c r="B178" s="165" t="s">
        <v>236</v>
      </c>
      <c r="C178" s="184"/>
      <c r="D178" s="329">
        <v>449.9</v>
      </c>
      <c r="E178" s="328">
        <v>431.7</v>
      </c>
      <c r="F178" s="107"/>
      <c r="G178" s="107"/>
    </row>
    <row r="179" spans="1:7" x14ac:dyDescent="0.25">
      <c r="A179" s="164" t="s">
        <v>363</v>
      </c>
      <c r="B179" s="165" t="s">
        <v>250</v>
      </c>
      <c r="C179" s="184"/>
      <c r="D179" s="329">
        <f>1.5+31.2</f>
        <v>32.700000000000003</v>
      </c>
      <c r="E179" s="328">
        <f>1.5+30.8</f>
        <v>32.299999999999997</v>
      </c>
      <c r="F179" s="107"/>
      <c r="G179" s="107"/>
    </row>
    <row r="180" spans="1:7" x14ac:dyDescent="0.25">
      <c r="A180" s="164" t="s">
        <v>364</v>
      </c>
      <c r="B180" s="165" t="s">
        <v>240</v>
      </c>
      <c r="C180" s="184"/>
      <c r="D180" s="329">
        <v>90.7</v>
      </c>
      <c r="E180" s="328">
        <v>15.2</v>
      </c>
      <c r="F180" s="107"/>
      <c r="G180" s="107"/>
    </row>
    <row r="181" spans="1:7" ht="24" x14ac:dyDescent="0.25">
      <c r="A181" s="164" t="s">
        <v>365</v>
      </c>
      <c r="B181" s="265" t="s">
        <v>241</v>
      </c>
      <c r="C181" s="161"/>
      <c r="D181" s="384">
        <f>SUM(D182)</f>
        <v>18.8</v>
      </c>
      <c r="E181" s="391">
        <f>SUM(E182)</f>
        <v>8.4</v>
      </c>
      <c r="F181" s="107"/>
      <c r="G181" s="107"/>
    </row>
    <row r="182" spans="1:7" x14ac:dyDescent="0.25">
      <c r="A182" s="154" t="s">
        <v>366</v>
      </c>
      <c r="B182" s="163" t="s">
        <v>234</v>
      </c>
      <c r="C182" s="186"/>
      <c r="D182" s="398">
        <v>18.8</v>
      </c>
      <c r="E182" s="328">
        <v>8.4</v>
      </c>
      <c r="F182" s="107"/>
      <c r="G182" s="107"/>
    </row>
    <row r="183" spans="1:7" s="296" customFormat="1" ht="12" customHeight="1" x14ac:dyDescent="0.25">
      <c r="A183" s="187" t="s">
        <v>132</v>
      </c>
      <c r="B183" s="158" t="s">
        <v>133</v>
      </c>
      <c r="C183" s="189"/>
      <c r="D183" s="393">
        <f>SUM(D185+D190)</f>
        <v>1502.6000000000001</v>
      </c>
      <c r="E183" s="452">
        <f>SUM(E185+E190)</f>
        <v>1233.3999999999999</v>
      </c>
      <c r="F183" s="105"/>
      <c r="G183" s="105"/>
    </row>
    <row r="184" spans="1:7" x14ac:dyDescent="0.25">
      <c r="A184" s="154"/>
      <c r="B184" s="156" t="s">
        <v>230</v>
      </c>
      <c r="C184" s="184"/>
      <c r="D184" s="393"/>
      <c r="E184" s="328"/>
      <c r="F184" s="107"/>
      <c r="G184" s="107"/>
    </row>
    <row r="185" spans="1:7" x14ac:dyDescent="0.25">
      <c r="A185" s="154" t="s">
        <v>367</v>
      </c>
      <c r="B185" s="161" t="s">
        <v>231</v>
      </c>
      <c r="C185" s="169" t="s">
        <v>232</v>
      </c>
      <c r="D185" s="384">
        <f>SUM(D186:D189)</f>
        <v>1485.9</v>
      </c>
      <c r="E185" s="391">
        <f>SUM(E186:E189)</f>
        <v>1226.3</v>
      </c>
      <c r="F185" s="107"/>
      <c r="G185" s="107"/>
    </row>
    <row r="186" spans="1:7" x14ac:dyDescent="0.25">
      <c r="A186" s="154" t="s">
        <v>368</v>
      </c>
      <c r="B186" s="163" t="s">
        <v>234</v>
      </c>
      <c r="C186" s="169"/>
      <c r="D186" s="329">
        <v>893.6</v>
      </c>
      <c r="E186" s="328">
        <v>739.9</v>
      </c>
      <c r="F186" s="107"/>
      <c r="G186" s="107"/>
    </row>
    <row r="187" spans="1:7" s="296" customFormat="1" x14ac:dyDescent="0.25">
      <c r="A187" s="164" t="s">
        <v>369</v>
      </c>
      <c r="B187" s="165" t="s">
        <v>236</v>
      </c>
      <c r="C187" s="184"/>
      <c r="D187" s="329">
        <v>455.5</v>
      </c>
      <c r="E187" s="328">
        <v>437.6</v>
      </c>
      <c r="F187" s="105"/>
      <c r="G187" s="105"/>
    </row>
    <row r="188" spans="1:7" s="296" customFormat="1" x14ac:dyDescent="0.25">
      <c r="A188" s="164" t="s">
        <v>370</v>
      </c>
      <c r="B188" s="165" t="s">
        <v>250</v>
      </c>
      <c r="C188" s="184"/>
      <c r="D188" s="329">
        <f>1.5+29.9</f>
        <v>31.4</v>
      </c>
      <c r="E188" s="328">
        <f>1.5+29.5</f>
        <v>31</v>
      </c>
      <c r="F188" s="105"/>
      <c r="G188" s="105"/>
    </row>
    <row r="189" spans="1:7" s="296" customFormat="1" x14ac:dyDescent="0.25">
      <c r="A189" s="164" t="s">
        <v>371</v>
      </c>
      <c r="B189" s="165" t="s">
        <v>240</v>
      </c>
      <c r="C189" s="184"/>
      <c r="D189" s="329">
        <v>105.4</v>
      </c>
      <c r="E189" s="328">
        <v>17.8</v>
      </c>
      <c r="F189" s="105"/>
      <c r="G189" s="105"/>
    </row>
    <row r="190" spans="1:7" s="296" customFormat="1" ht="24" x14ac:dyDescent="0.25">
      <c r="A190" s="164" t="s">
        <v>372</v>
      </c>
      <c r="B190" s="265" t="s">
        <v>241</v>
      </c>
      <c r="C190" s="161"/>
      <c r="D190" s="384">
        <f>SUM(D191)</f>
        <v>16.7</v>
      </c>
      <c r="E190" s="391">
        <f>SUM(E191)</f>
        <v>7.1</v>
      </c>
      <c r="F190" s="105"/>
      <c r="G190" s="105"/>
    </row>
    <row r="191" spans="1:7" x14ac:dyDescent="0.25">
      <c r="A191" s="154" t="s">
        <v>373</v>
      </c>
      <c r="B191" s="163" t="s">
        <v>234</v>
      </c>
      <c r="C191" s="186"/>
      <c r="D191" s="329">
        <v>16.7</v>
      </c>
      <c r="E191" s="392">
        <v>7.1</v>
      </c>
      <c r="F191" s="107"/>
      <c r="G191" s="107"/>
    </row>
    <row r="192" spans="1:7" s="296" customFormat="1" x14ac:dyDescent="0.25">
      <c r="A192" s="157" t="s">
        <v>134</v>
      </c>
      <c r="B192" s="158" t="s">
        <v>135</v>
      </c>
      <c r="C192" s="159"/>
      <c r="D192" s="381">
        <f>SUM(D194+D199)</f>
        <v>1293.9000000000001</v>
      </c>
      <c r="E192" s="389">
        <f>SUM(E194+E199)</f>
        <v>1186.8</v>
      </c>
      <c r="F192" s="105"/>
      <c r="G192" s="105"/>
    </row>
    <row r="193" spans="1:7" x14ac:dyDescent="0.25">
      <c r="A193" s="154"/>
      <c r="B193" s="156" t="s">
        <v>230</v>
      </c>
      <c r="C193" s="172"/>
      <c r="D193" s="387"/>
      <c r="E193" s="328"/>
      <c r="F193" s="107"/>
      <c r="G193" s="107"/>
    </row>
    <row r="194" spans="1:7" x14ac:dyDescent="0.25">
      <c r="A194" s="154" t="s">
        <v>374</v>
      </c>
      <c r="B194" s="161" t="s">
        <v>231</v>
      </c>
      <c r="C194" s="162" t="s">
        <v>232</v>
      </c>
      <c r="D194" s="382">
        <f>SUM(D195:D198)</f>
        <v>1278.5</v>
      </c>
      <c r="E194" s="391">
        <f>SUM(E195:E198)</f>
        <v>1181.5999999999999</v>
      </c>
      <c r="F194" s="107"/>
      <c r="G194" s="107"/>
    </row>
    <row r="195" spans="1:7" x14ac:dyDescent="0.25">
      <c r="A195" s="154" t="s">
        <v>375</v>
      </c>
      <c r="B195" s="163" t="s">
        <v>234</v>
      </c>
      <c r="C195" s="162"/>
      <c r="D195" s="326">
        <f>1063.4+3</f>
        <v>1066.4000000000001</v>
      </c>
      <c r="E195" s="328">
        <v>992.5</v>
      </c>
      <c r="F195" s="107"/>
      <c r="G195" s="107"/>
    </row>
    <row r="196" spans="1:7" x14ac:dyDescent="0.25">
      <c r="A196" s="164" t="s">
        <v>376</v>
      </c>
      <c r="B196" s="165" t="s">
        <v>236</v>
      </c>
      <c r="C196" s="172"/>
      <c r="D196" s="326">
        <v>83.3</v>
      </c>
      <c r="E196" s="328">
        <v>82.1</v>
      </c>
      <c r="F196" s="107"/>
      <c r="G196" s="107"/>
    </row>
    <row r="197" spans="1:7" x14ac:dyDescent="0.25">
      <c r="A197" s="164" t="s">
        <v>377</v>
      </c>
      <c r="B197" s="165" t="s">
        <v>240</v>
      </c>
      <c r="C197" s="172"/>
      <c r="D197" s="326">
        <v>67.7</v>
      </c>
      <c r="E197" s="328">
        <v>46.8</v>
      </c>
      <c r="F197" s="107"/>
      <c r="G197" s="107"/>
    </row>
    <row r="198" spans="1:7" x14ac:dyDescent="0.25">
      <c r="A198" s="429" t="s">
        <v>895</v>
      </c>
      <c r="B198" s="165" t="s">
        <v>250</v>
      </c>
      <c r="C198" s="172"/>
      <c r="D198" s="326">
        <v>61.1</v>
      </c>
      <c r="E198" s="328">
        <v>60.2</v>
      </c>
      <c r="F198" s="107"/>
      <c r="G198" s="107"/>
    </row>
    <row r="199" spans="1:7" ht="24" x14ac:dyDescent="0.25">
      <c r="A199" s="164" t="s">
        <v>378</v>
      </c>
      <c r="B199" s="265" t="s">
        <v>241</v>
      </c>
      <c r="C199" s="223"/>
      <c r="D199" s="382">
        <f>SUM(D200)</f>
        <v>15.4</v>
      </c>
      <c r="E199" s="391">
        <f>SUM(E200)</f>
        <v>5.2</v>
      </c>
      <c r="F199" s="107"/>
      <c r="G199" s="107"/>
    </row>
    <row r="200" spans="1:7" x14ac:dyDescent="0.25">
      <c r="A200" s="154" t="s">
        <v>379</v>
      </c>
      <c r="B200" s="190" t="s">
        <v>234</v>
      </c>
      <c r="C200" s="172"/>
      <c r="D200" s="326">
        <v>15.4</v>
      </c>
      <c r="E200" s="328">
        <v>5.2</v>
      </c>
      <c r="F200" s="107"/>
      <c r="G200" s="107"/>
    </row>
    <row r="201" spans="1:7" s="296" customFormat="1" x14ac:dyDescent="0.25">
      <c r="A201" s="157" t="s">
        <v>136</v>
      </c>
      <c r="B201" s="168" t="s">
        <v>137</v>
      </c>
      <c r="C201" s="159"/>
      <c r="D201" s="381">
        <f>SUM(D203+D208)</f>
        <v>347.79999999999995</v>
      </c>
      <c r="E201" s="389">
        <f>SUM(E203+E208)</f>
        <v>297.20000000000005</v>
      </c>
      <c r="F201" s="105"/>
      <c r="G201" s="105"/>
    </row>
    <row r="202" spans="1:7" x14ac:dyDescent="0.25">
      <c r="A202" s="154"/>
      <c r="B202" s="156" t="s">
        <v>230</v>
      </c>
      <c r="C202" s="172"/>
      <c r="D202" s="387"/>
      <c r="E202" s="328"/>
      <c r="F202" s="107"/>
      <c r="G202" s="107"/>
    </row>
    <row r="203" spans="1:7" x14ac:dyDescent="0.25">
      <c r="A203" s="154" t="s">
        <v>380</v>
      </c>
      <c r="B203" s="161" t="s">
        <v>231</v>
      </c>
      <c r="C203" s="162" t="s">
        <v>232</v>
      </c>
      <c r="D203" s="382">
        <f>SUM(D204:D207)</f>
        <v>340.99999999999994</v>
      </c>
      <c r="E203" s="391">
        <f>SUM(E204:E207)</f>
        <v>294.60000000000002</v>
      </c>
      <c r="F203" s="107"/>
      <c r="G203" s="107"/>
    </row>
    <row r="204" spans="1:7" x14ac:dyDescent="0.25">
      <c r="A204" s="164" t="s">
        <v>381</v>
      </c>
      <c r="B204" s="163" t="s">
        <v>234</v>
      </c>
      <c r="C204" s="162"/>
      <c r="D204" s="326">
        <v>280.3</v>
      </c>
      <c r="E204" s="328">
        <v>243.9</v>
      </c>
      <c r="F204" s="107"/>
      <c r="G204" s="107"/>
    </row>
    <row r="205" spans="1:7" x14ac:dyDescent="0.25">
      <c r="A205" s="164" t="s">
        <v>382</v>
      </c>
      <c r="B205" s="165" t="s">
        <v>236</v>
      </c>
      <c r="C205" s="172"/>
      <c r="D205" s="326">
        <v>33.4</v>
      </c>
      <c r="E205" s="328">
        <v>32.9</v>
      </c>
      <c r="F205" s="107"/>
      <c r="G205" s="107"/>
    </row>
    <row r="206" spans="1:7" x14ac:dyDescent="0.25">
      <c r="A206" s="164" t="s">
        <v>383</v>
      </c>
      <c r="B206" s="165" t="s">
        <v>240</v>
      </c>
      <c r="C206" s="172"/>
      <c r="D206" s="326">
        <v>16.399999999999999</v>
      </c>
      <c r="E206" s="328">
        <v>7.1</v>
      </c>
      <c r="F206" s="107"/>
      <c r="G206" s="107"/>
    </row>
    <row r="207" spans="1:7" x14ac:dyDescent="0.25">
      <c r="A207" s="429" t="s">
        <v>896</v>
      </c>
      <c r="B207" s="165" t="s">
        <v>250</v>
      </c>
      <c r="C207" s="172"/>
      <c r="D207" s="326">
        <v>10.9</v>
      </c>
      <c r="E207" s="328">
        <v>10.7</v>
      </c>
      <c r="F207" s="107"/>
      <c r="G207" s="107"/>
    </row>
    <row r="208" spans="1:7" ht="24" x14ac:dyDescent="0.25">
      <c r="A208" s="164" t="s">
        <v>384</v>
      </c>
      <c r="B208" s="265" t="s">
        <v>241</v>
      </c>
      <c r="C208" s="172"/>
      <c r="D208" s="382">
        <f>SUM(D209)</f>
        <v>6.8</v>
      </c>
      <c r="E208" s="391">
        <f>SUM(E209)</f>
        <v>2.6</v>
      </c>
      <c r="F208" s="107"/>
      <c r="G208" s="107"/>
    </row>
    <row r="209" spans="1:14" x14ac:dyDescent="0.25">
      <c r="A209" s="154" t="s">
        <v>385</v>
      </c>
      <c r="B209" s="190" t="s">
        <v>234</v>
      </c>
      <c r="C209" s="191"/>
      <c r="D209" s="398">
        <v>6.8</v>
      </c>
      <c r="E209" s="331">
        <v>2.6</v>
      </c>
      <c r="F209" s="107"/>
      <c r="G209" s="107"/>
    </row>
    <row r="210" spans="1:14" s="296" customFormat="1" x14ac:dyDescent="0.25">
      <c r="A210" s="158" t="s">
        <v>138</v>
      </c>
      <c r="B210" s="158" t="s">
        <v>139</v>
      </c>
      <c r="C210" s="171"/>
      <c r="D210" s="381">
        <f>SUM(D212+D215+D217)</f>
        <v>998</v>
      </c>
      <c r="E210" s="390">
        <f>SUM(E212+E215+E217)</f>
        <v>692.7</v>
      </c>
      <c r="F210" s="105"/>
      <c r="G210" s="105"/>
    </row>
    <row r="211" spans="1:14" x14ac:dyDescent="0.25">
      <c r="A211" s="184"/>
      <c r="B211" s="156" t="s">
        <v>230</v>
      </c>
      <c r="C211" s="172"/>
      <c r="D211" s="387"/>
      <c r="E211" s="328"/>
      <c r="F211" s="107"/>
      <c r="G211" s="107"/>
    </row>
    <row r="212" spans="1:14" x14ac:dyDescent="0.25">
      <c r="A212" s="184" t="s">
        <v>386</v>
      </c>
      <c r="B212" s="161" t="s">
        <v>231</v>
      </c>
      <c r="C212" s="162" t="s">
        <v>232</v>
      </c>
      <c r="D212" s="382">
        <f>SUM(D213:D214)</f>
        <v>299.10000000000002</v>
      </c>
      <c r="E212" s="391">
        <f>SUM(E213:E214)</f>
        <v>181.4</v>
      </c>
      <c r="F212" s="107"/>
      <c r="G212" s="107"/>
    </row>
    <row r="213" spans="1:14" x14ac:dyDescent="0.25">
      <c r="A213" s="184" t="s">
        <v>387</v>
      </c>
      <c r="B213" s="163" t="s">
        <v>234</v>
      </c>
      <c r="C213" s="162"/>
      <c r="D213" s="326">
        <v>195.8</v>
      </c>
      <c r="E213" s="328">
        <v>171.3</v>
      </c>
      <c r="F213" s="467"/>
      <c r="G213" s="107"/>
    </row>
    <row r="214" spans="1:14" x14ac:dyDescent="0.25">
      <c r="A214" s="184" t="s">
        <v>388</v>
      </c>
      <c r="B214" s="163" t="s">
        <v>240</v>
      </c>
      <c r="C214" s="172"/>
      <c r="D214" s="326">
        <v>103.3</v>
      </c>
      <c r="E214" s="328">
        <v>10.1</v>
      </c>
      <c r="F214" s="107"/>
      <c r="G214" s="107"/>
    </row>
    <row r="215" spans="1:14" x14ac:dyDescent="0.25">
      <c r="A215" s="184" t="s">
        <v>389</v>
      </c>
      <c r="B215" s="192" t="s">
        <v>390</v>
      </c>
      <c r="C215" s="162" t="s">
        <v>420</v>
      </c>
      <c r="D215" s="382">
        <f>SUM(D216)</f>
        <v>11.7</v>
      </c>
      <c r="E215" s="391">
        <f>SUM(E216)</f>
        <v>0</v>
      </c>
      <c r="F215" s="107"/>
      <c r="G215" s="107"/>
    </row>
    <row r="216" spans="1:14" ht="12.6" customHeight="1" x14ac:dyDescent="0.25">
      <c r="A216" s="166" t="s">
        <v>391</v>
      </c>
      <c r="B216" s="193" t="s">
        <v>392</v>
      </c>
      <c r="C216" s="172"/>
      <c r="D216" s="466">
        <v>11.7</v>
      </c>
      <c r="E216" s="328"/>
      <c r="F216" s="107"/>
      <c r="G216" s="109"/>
      <c r="H216" s="109"/>
      <c r="I216" s="109"/>
      <c r="J216" s="109"/>
    </row>
    <row r="217" spans="1:14" ht="24" x14ac:dyDescent="0.25">
      <c r="A217" s="166" t="s">
        <v>393</v>
      </c>
      <c r="B217" s="194" t="s">
        <v>241</v>
      </c>
      <c r="C217" s="160" t="s">
        <v>394</v>
      </c>
      <c r="D217" s="382">
        <f>SUM(D218:D219)</f>
        <v>687.2</v>
      </c>
      <c r="E217" s="391">
        <f>SUM(E218:E219)</f>
        <v>511.3</v>
      </c>
      <c r="F217" s="107"/>
      <c r="G217" s="109"/>
      <c r="H217" s="109"/>
      <c r="I217" s="109"/>
      <c r="J217" s="109"/>
    </row>
    <row r="218" spans="1:14" x14ac:dyDescent="0.25">
      <c r="A218" s="166"/>
      <c r="B218" s="322" t="s">
        <v>234</v>
      </c>
      <c r="C218" s="160"/>
      <c r="D218" s="326">
        <f>670.6+13.6</f>
        <v>684.2</v>
      </c>
      <c r="E218" s="328">
        <f>502.1+6.2</f>
        <v>508.3</v>
      </c>
      <c r="F218" s="107"/>
      <c r="G218" s="109"/>
      <c r="H218" s="109"/>
      <c r="I218" s="109"/>
      <c r="J218" s="109"/>
    </row>
    <row r="219" spans="1:14" x14ac:dyDescent="0.25">
      <c r="A219" s="195" t="s">
        <v>395</v>
      </c>
      <c r="B219" s="190" t="s">
        <v>250</v>
      </c>
      <c r="C219" s="186"/>
      <c r="D219" s="398">
        <v>3</v>
      </c>
      <c r="E219" s="328">
        <v>3</v>
      </c>
      <c r="F219" s="107"/>
      <c r="G219" s="109"/>
      <c r="H219" s="109"/>
      <c r="I219" s="109"/>
      <c r="J219" s="109"/>
    </row>
    <row r="220" spans="1:14" x14ac:dyDescent="0.25">
      <c r="A220" s="158" t="s">
        <v>140</v>
      </c>
      <c r="B220" s="171" t="s">
        <v>396</v>
      </c>
      <c r="C220" s="184"/>
      <c r="D220" s="381">
        <f>SUM(D222+D225)</f>
        <v>312.2</v>
      </c>
      <c r="E220" s="389">
        <f>SUM(E222+E225)</f>
        <v>293.40000000000003</v>
      </c>
      <c r="F220" s="105"/>
      <c r="G220" s="105"/>
    </row>
    <row r="221" spans="1:14" x14ac:dyDescent="0.25">
      <c r="A221" s="184"/>
      <c r="B221" s="176" t="s">
        <v>230</v>
      </c>
      <c r="C221" s="156"/>
      <c r="D221" s="326"/>
      <c r="E221" s="328"/>
      <c r="F221" s="107"/>
      <c r="G221" s="107"/>
    </row>
    <row r="222" spans="1:14" ht="12.75" customHeight="1" x14ac:dyDescent="0.25">
      <c r="A222" s="184" t="s">
        <v>397</v>
      </c>
      <c r="B222" s="196" t="s">
        <v>231</v>
      </c>
      <c r="C222" s="169" t="s">
        <v>232</v>
      </c>
      <c r="D222" s="382">
        <f>SUM(D223:D224)</f>
        <v>309.5</v>
      </c>
      <c r="E222" s="391">
        <f>SUM(E223:E224)</f>
        <v>292.10000000000002</v>
      </c>
      <c r="F222" s="107"/>
      <c r="G222" s="109"/>
      <c r="H222" s="109"/>
      <c r="I222" s="109"/>
      <c r="J222" s="109"/>
      <c r="K222" s="297"/>
    </row>
    <row r="223" spans="1:14" x14ac:dyDescent="0.25">
      <c r="A223" s="184" t="s">
        <v>398</v>
      </c>
      <c r="B223" s="197" t="s">
        <v>234</v>
      </c>
      <c r="C223" s="169"/>
      <c r="D223" s="326">
        <v>133</v>
      </c>
      <c r="E223" s="328">
        <v>118.6</v>
      </c>
      <c r="F223" s="107"/>
      <c r="G223" s="107"/>
      <c r="N223" s="297"/>
    </row>
    <row r="224" spans="1:14" x14ac:dyDescent="0.25">
      <c r="A224" s="184" t="s">
        <v>399</v>
      </c>
      <c r="B224" s="207" t="s">
        <v>236</v>
      </c>
      <c r="C224" s="169"/>
      <c r="D224" s="326">
        <v>176.5</v>
      </c>
      <c r="E224" s="328">
        <v>173.5</v>
      </c>
      <c r="F224" s="107"/>
      <c r="G224" s="107"/>
      <c r="N224" s="297"/>
    </row>
    <row r="225" spans="1:14" ht="24" x14ac:dyDescent="0.25">
      <c r="A225" s="184" t="s">
        <v>400</v>
      </c>
      <c r="B225" s="323" t="s">
        <v>241</v>
      </c>
      <c r="C225" s="169"/>
      <c r="D225" s="382">
        <f>SUM(D226)</f>
        <v>2.7</v>
      </c>
      <c r="E225" s="391">
        <f>SUM(E226)</f>
        <v>1.3</v>
      </c>
      <c r="F225" s="107"/>
      <c r="G225" s="107"/>
      <c r="N225" s="297"/>
    </row>
    <row r="226" spans="1:14" x14ac:dyDescent="0.25">
      <c r="A226" s="186" t="s">
        <v>401</v>
      </c>
      <c r="B226" s="167" t="s">
        <v>234</v>
      </c>
      <c r="C226" s="170"/>
      <c r="D226" s="398">
        <v>2.7</v>
      </c>
      <c r="E226" s="331">
        <v>1.3</v>
      </c>
      <c r="F226" s="107"/>
      <c r="G226" s="109"/>
      <c r="H226" s="109"/>
      <c r="I226" s="109"/>
      <c r="J226" s="109"/>
      <c r="K226" s="297"/>
      <c r="N226" s="297"/>
    </row>
    <row r="227" spans="1:14" x14ac:dyDescent="0.25">
      <c r="A227" s="158" t="s">
        <v>142</v>
      </c>
      <c r="B227" s="198" t="s">
        <v>141</v>
      </c>
      <c r="C227" s="199"/>
      <c r="D227" s="381">
        <f>SUM(D229+D233)</f>
        <v>199.10000000000002</v>
      </c>
      <c r="E227" s="389">
        <f>SUM(E229+E233)</f>
        <v>150.69999999999999</v>
      </c>
      <c r="F227" s="105"/>
      <c r="G227" s="107"/>
      <c r="H227" s="297"/>
      <c r="I227" s="297"/>
      <c r="J227" s="297"/>
      <c r="K227" s="297"/>
    </row>
    <row r="228" spans="1:14" x14ac:dyDescent="0.25">
      <c r="A228" s="184"/>
      <c r="B228" s="160" t="s">
        <v>230</v>
      </c>
      <c r="C228" s="156"/>
      <c r="D228" s="326"/>
      <c r="E228" s="328"/>
      <c r="F228" s="107"/>
      <c r="G228" s="107"/>
      <c r="H228" s="297"/>
      <c r="I228" s="297"/>
      <c r="J228" s="297"/>
      <c r="K228" s="297"/>
    </row>
    <row r="229" spans="1:14" x14ac:dyDescent="0.25">
      <c r="A229" s="166" t="s">
        <v>402</v>
      </c>
      <c r="B229" s="200" t="s">
        <v>312</v>
      </c>
      <c r="C229" s="169" t="s">
        <v>112</v>
      </c>
      <c r="D229" s="382">
        <f>SUM(D230:D232)</f>
        <v>195.3</v>
      </c>
      <c r="E229" s="391">
        <f>SUM(E230:E232)</f>
        <v>149.1</v>
      </c>
      <c r="F229" s="107"/>
      <c r="G229" s="107"/>
      <c r="H229" s="297"/>
      <c r="I229" s="297"/>
      <c r="J229" s="297"/>
      <c r="K229" s="297"/>
    </row>
    <row r="230" spans="1:14" x14ac:dyDescent="0.25">
      <c r="A230" s="184" t="s">
        <v>403</v>
      </c>
      <c r="B230" s="163" t="s">
        <v>234</v>
      </c>
      <c r="C230" s="156"/>
      <c r="D230" s="326">
        <f>172.9+20</f>
        <v>192.9</v>
      </c>
      <c r="E230" s="328">
        <v>147.6</v>
      </c>
      <c r="F230" s="107"/>
      <c r="G230" s="107"/>
      <c r="H230" s="297"/>
      <c r="I230" s="297"/>
      <c r="J230" s="297"/>
      <c r="K230" s="297"/>
    </row>
    <row r="231" spans="1:14" x14ac:dyDescent="0.25">
      <c r="A231" s="184" t="s">
        <v>404</v>
      </c>
      <c r="B231" s="163" t="s">
        <v>250</v>
      </c>
      <c r="C231" s="156"/>
      <c r="D231" s="326">
        <v>1.5</v>
      </c>
      <c r="E231" s="328">
        <v>1.5</v>
      </c>
      <c r="F231" s="107"/>
      <c r="G231" s="107"/>
      <c r="H231" s="297"/>
      <c r="I231" s="297"/>
      <c r="J231" s="297"/>
      <c r="K231" s="297"/>
    </row>
    <row r="232" spans="1:14" x14ac:dyDescent="0.25">
      <c r="A232" s="184" t="s">
        <v>405</v>
      </c>
      <c r="B232" s="163" t="s">
        <v>240</v>
      </c>
      <c r="C232" s="156"/>
      <c r="D232" s="326">
        <v>0.9</v>
      </c>
      <c r="E232" s="328"/>
      <c r="F232" s="107"/>
      <c r="G232" s="107"/>
      <c r="H232" s="297"/>
      <c r="I232" s="297"/>
      <c r="J232" s="297"/>
      <c r="K232" s="297"/>
    </row>
    <row r="233" spans="1:14" ht="24" x14ac:dyDescent="0.25">
      <c r="A233" s="184" t="s">
        <v>406</v>
      </c>
      <c r="B233" s="265" t="s">
        <v>241</v>
      </c>
      <c r="C233" s="156"/>
      <c r="D233" s="382">
        <f>SUM(D234)</f>
        <v>3.8</v>
      </c>
      <c r="E233" s="391">
        <f>SUM(E234)</f>
        <v>1.6</v>
      </c>
      <c r="F233" s="107"/>
      <c r="G233" s="107"/>
      <c r="H233" s="297"/>
      <c r="I233" s="297"/>
      <c r="J233" s="297"/>
      <c r="K233" s="297"/>
    </row>
    <row r="234" spans="1:14" x14ac:dyDescent="0.25">
      <c r="A234" s="186" t="s">
        <v>407</v>
      </c>
      <c r="B234" s="190" t="s">
        <v>234</v>
      </c>
      <c r="C234" s="170"/>
      <c r="D234" s="398">
        <v>3.8</v>
      </c>
      <c r="E234" s="328">
        <v>1.6</v>
      </c>
      <c r="F234" s="107"/>
      <c r="G234" s="107"/>
    </row>
    <row r="235" spans="1:14" ht="12.75" customHeight="1" x14ac:dyDescent="0.25">
      <c r="A235" s="201" t="s">
        <v>144</v>
      </c>
      <c r="B235" s="202" t="s">
        <v>143</v>
      </c>
      <c r="C235" s="158"/>
      <c r="D235" s="387">
        <f>SUM(D237+D242)</f>
        <v>324.39999999999998</v>
      </c>
      <c r="E235" s="452">
        <f>SUM(E237+E242)</f>
        <v>102.5</v>
      </c>
      <c r="F235" s="105"/>
      <c r="G235" s="105"/>
    </row>
    <row r="236" spans="1:14" x14ac:dyDescent="0.25">
      <c r="A236" s="184"/>
      <c r="B236" s="176" t="s">
        <v>230</v>
      </c>
      <c r="C236" s="184"/>
      <c r="D236" s="326"/>
      <c r="E236" s="328"/>
      <c r="F236" s="107"/>
      <c r="G236" s="107"/>
    </row>
    <row r="237" spans="1:14" ht="12.75" customHeight="1" x14ac:dyDescent="0.25">
      <c r="A237" s="166" t="s">
        <v>408</v>
      </c>
      <c r="B237" s="203" t="s">
        <v>409</v>
      </c>
      <c r="C237" s="169" t="s">
        <v>410</v>
      </c>
      <c r="D237" s="382">
        <f>SUM(D238:D241)</f>
        <v>319.5</v>
      </c>
      <c r="E237" s="391">
        <f>SUM(E238:E241)</f>
        <v>100.6</v>
      </c>
      <c r="F237" s="109"/>
      <c r="G237" s="109"/>
    </row>
    <row r="238" spans="1:14" x14ac:dyDescent="0.25">
      <c r="A238" s="184" t="s">
        <v>411</v>
      </c>
      <c r="B238" s="163" t="s">
        <v>234</v>
      </c>
      <c r="C238" s="169"/>
      <c r="D238" s="326">
        <f>153.3+7.3+22.9</f>
        <v>183.50000000000003</v>
      </c>
      <c r="E238" s="328">
        <f>83.6+3.4</f>
        <v>87</v>
      </c>
      <c r="F238" s="109"/>
      <c r="G238" s="109"/>
    </row>
    <row r="239" spans="1:14" ht="24" x14ac:dyDescent="0.25">
      <c r="A239" s="166" t="s">
        <v>412</v>
      </c>
      <c r="B239" s="165" t="s">
        <v>413</v>
      </c>
      <c r="C239" s="204"/>
      <c r="D239" s="326">
        <v>33</v>
      </c>
      <c r="E239" s="328">
        <v>5.6</v>
      </c>
      <c r="F239" s="109"/>
      <c r="G239" s="109"/>
    </row>
    <row r="240" spans="1:14" x14ac:dyDescent="0.25">
      <c r="A240" s="166" t="s">
        <v>414</v>
      </c>
      <c r="B240" s="165" t="s">
        <v>250</v>
      </c>
      <c r="C240" s="204"/>
      <c r="D240" s="326">
        <v>3</v>
      </c>
      <c r="E240" s="328">
        <v>3</v>
      </c>
      <c r="F240" s="109"/>
      <c r="G240" s="109"/>
    </row>
    <row r="241" spans="1:11" x14ac:dyDescent="0.25">
      <c r="A241" s="166" t="s">
        <v>415</v>
      </c>
      <c r="B241" s="165" t="s">
        <v>240</v>
      </c>
      <c r="C241" s="204"/>
      <c r="D241" s="326">
        <v>100</v>
      </c>
      <c r="E241" s="328">
        <v>5</v>
      </c>
      <c r="F241" s="109"/>
      <c r="G241" s="109"/>
    </row>
    <row r="242" spans="1:11" ht="24" x14ac:dyDescent="0.25">
      <c r="A242" s="166" t="s">
        <v>416</v>
      </c>
      <c r="B242" s="265" t="s">
        <v>241</v>
      </c>
      <c r="C242" s="204"/>
      <c r="D242" s="382">
        <f>SUM(D243)</f>
        <v>4.9000000000000004</v>
      </c>
      <c r="E242" s="391">
        <f>SUM(E243)</f>
        <v>1.9</v>
      </c>
      <c r="F242" s="109"/>
      <c r="G242" s="109"/>
    </row>
    <row r="243" spans="1:11" x14ac:dyDescent="0.25">
      <c r="A243" s="184" t="s">
        <v>417</v>
      </c>
      <c r="B243" s="163" t="s">
        <v>234</v>
      </c>
      <c r="C243" s="173"/>
      <c r="D243" s="326">
        <v>4.9000000000000004</v>
      </c>
      <c r="E243" s="328">
        <v>1.9</v>
      </c>
      <c r="F243" s="107"/>
      <c r="G243" s="107"/>
    </row>
    <row r="244" spans="1:11" ht="24" customHeight="1" x14ac:dyDescent="0.25">
      <c r="A244" s="188" t="s">
        <v>146</v>
      </c>
      <c r="B244" s="205" t="s">
        <v>418</v>
      </c>
      <c r="C244" s="158"/>
      <c r="D244" s="381">
        <f>SUM(D246+D253)</f>
        <v>1317.9</v>
      </c>
      <c r="E244" s="452">
        <f>SUM(E246+E253)</f>
        <v>848.4</v>
      </c>
      <c r="F244" s="110"/>
      <c r="G244" s="110"/>
    </row>
    <row r="245" spans="1:11" x14ac:dyDescent="0.25">
      <c r="A245" s="184"/>
      <c r="B245" s="160" t="s">
        <v>230</v>
      </c>
      <c r="C245" s="184"/>
      <c r="D245" s="326"/>
      <c r="E245" s="328"/>
      <c r="F245" s="107"/>
      <c r="G245" s="107"/>
    </row>
    <row r="246" spans="1:11" x14ac:dyDescent="0.25">
      <c r="A246" s="184" t="s">
        <v>419</v>
      </c>
      <c r="B246" s="206" t="s">
        <v>390</v>
      </c>
      <c r="C246" s="169" t="s">
        <v>420</v>
      </c>
      <c r="D246" s="382">
        <f>SUM(D247:D252)</f>
        <v>1309</v>
      </c>
      <c r="E246" s="391">
        <f>SUM(E247:E252)</f>
        <v>845.9</v>
      </c>
      <c r="F246" s="111"/>
      <c r="G246" s="111"/>
    </row>
    <row r="247" spans="1:11" x14ac:dyDescent="0.25">
      <c r="A247" s="184" t="s">
        <v>421</v>
      </c>
      <c r="B247" s="197" t="s">
        <v>234</v>
      </c>
      <c r="C247" s="169"/>
      <c r="D247" s="326">
        <f>112.2+178.5+37.4+1.1+3</f>
        <v>332.2</v>
      </c>
      <c r="E247" s="328">
        <f>83.1+165.2+1+0.3</f>
        <v>249.6</v>
      </c>
      <c r="F247" s="107"/>
      <c r="G247" s="107"/>
    </row>
    <row r="248" spans="1:11" x14ac:dyDescent="0.25">
      <c r="A248" s="184" t="s">
        <v>422</v>
      </c>
      <c r="B248" s="197" t="s">
        <v>423</v>
      </c>
      <c r="C248" s="169"/>
      <c r="D248" s="326">
        <v>667.5</v>
      </c>
      <c r="E248" s="328">
        <v>551</v>
      </c>
      <c r="F248" s="107"/>
      <c r="G248" s="107"/>
    </row>
    <row r="249" spans="1:11" x14ac:dyDescent="0.25">
      <c r="A249" s="184" t="s">
        <v>424</v>
      </c>
      <c r="B249" s="197" t="s">
        <v>250</v>
      </c>
      <c r="C249" s="169"/>
      <c r="D249" s="326">
        <v>1</v>
      </c>
      <c r="E249" s="328">
        <v>1</v>
      </c>
      <c r="F249" s="107"/>
      <c r="G249" s="107"/>
    </row>
    <row r="250" spans="1:11" x14ac:dyDescent="0.25">
      <c r="A250" s="184" t="s">
        <v>425</v>
      </c>
      <c r="B250" s="197" t="s">
        <v>240</v>
      </c>
      <c r="C250" s="169"/>
      <c r="D250" s="326">
        <v>2</v>
      </c>
      <c r="E250" s="328">
        <v>0.5</v>
      </c>
      <c r="F250" s="109"/>
      <c r="G250" s="109"/>
    </row>
    <row r="251" spans="1:11" ht="36" customHeight="1" x14ac:dyDescent="0.25">
      <c r="A251" s="166" t="s">
        <v>426</v>
      </c>
      <c r="B251" s="207" t="s">
        <v>427</v>
      </c>
      <c r="C251" s="169"/>
      <c r="D251" s="326">
        <f>213.1+17.2+64</f>
        <v>294.29999999999995</v>
      </c>
      <c r="E251" s="328">
        <f>2.4+16.4+25</f>
        <v>43.8</v>
      </c>
      <c r="F251" s="107"/>
      <c r="G251" s="107"/>
    </row>
    <row r="252" spans="1:11" ht="12.75" customHeight="1" x14ac:dyDescent="0.25">
      <c r="A252" s="166" t="s">
        <v>428</v>
      </c>
      <c r="B252" s="208" t="s">
        <v>429</v>
      </c>
      <c r="C252" s="169"/>
      <c r="D252" s="326">
        <v>12</v>
      </c>
      <c r="E252" s="328"/>
      <c r="F252" s="107"/>
      <c r="G252" s="107"/>
    </row>
    <row r="253" spans="1:11" ht="24.75" customHeight="1" x14ac:dyDescent="0.25">
      <c r="A253" s="166" t="s">
        <v>430</v>
      </c>
      <c r="B253" s="232" t="s">
        <v>241</v>
      </c>
      <c r="C253" s="169"/>
      <c r="D253" s="382">
        <f>SUM(D254)</f>
        <v>8.9</v>
      </c>
      <c r="E253" s="391">
        <f>SUM(E254)</f>
        <v>2.5</v>
      </c>
      <c r="F253" s="107"/>
      <c r="G253" s="107"/>
    </row>
    <row r="254" spans="1:11" ht="12.75" customHeight="1" x14ac:dyDescent="0.25">
      <c r="A254" s="195" t="s">
        <v>431</v>
      </c>
      <c r="B254" s="147" t="s">
        <v>234</v>
      </c>
      <c r="C254" s="209"/>
      <c r="D254" s="326">
        <v>8.9</v>
      </c>
      <c r="E254" s="328">
        <v>2.5</v>
      </c>
      <c r="F254" s="107"/>
      <c r="G254" s="107"/>
    </row>
    <row r="255" spans="1:11" x14ac:dyDescent="0.25">
      <c r="A255" s="157" t="s">
        <v>148</v>
      </c>
      <c r="B255" s="158" t="s">
        <v>432</v>
      </c>
      <c r="C255" s="158"/>
      <c r="D255" s="396">
        <f>SUM(D257+D261)</f>
        <v>1267.1000000000001</v>
      </c>
      <c r="E255" s="452">
        <f>SUM(E257+E261)</f>
        <v>1012.1999999999999</v>
      </c>
      <c r="F255" s="110"/>
      <c r="G255" s="112"/>
    </row>
    <row r="256" spans="1:11" x14ac:dyDescent="0.25">
      <c r="A256" s="154"/>
      <c r="B256" s="156" t="s">
        <v>230</v>
      </c>
      <c r="C256" s="184"/>
      <c r="D256" s="329"/>
      <c r="E256" s="328"/>
      <c r="F256" s="107"/>
      <c r="G256" s="112"/>
      <c r="H256" s="297"/>
      <c r="I256" s="297"/>
      <c r="J256" s="297"/>
      <c r="K256" s="297"/>
    </row>
    <row r="257" spans="1:11" x14ac:dyDescent="0.25">
      <c r="A257" s="164" t="s">
        <v>433</v>
      </c>
      <c r="B257" s="200" t="s">
        <v>312</v>
      </c>
      <c r="C257" s="169" t="s">
        <v>112</v>
      </c>
      <c r="D257" s="384">
        <f>SUM(D258:D260)</f>
        <v>1256.9000000000001</v>
      </c>
      <c r="E257" s="391">
        <f>SUM(E258:E260)</f>
        <v>1010.4</v>
      </c>
      <c r="F257" s="111"/>
      <c r="G257" s="112"/>
    </row>
    <row r="258" spans="1:11" x14ac:dyDescent="0.25">
      <c r="A258" s="154" t="s">
        <v>434</v>
      </c>
      <c r="B258" s="163" t="s">
        <v>234</v>
      </c>
      <c r="C258" s="169"/>
      <c r="D258" s="329">
        <f>753.3+213.5+158.4+97.3</f>
        <v>1222.5</v>
      </c>
      <c r="E258" s="328">
        <f>684.8+199.2+105.5</f>
        <v>989.5</v>
      </c>
      <c r="F258" s="107"/>
      <c r="G258" s="107"/>
    </row>
    <row r="259" spans="1:11" x14ac:dyDescent="0.25">
      <c r="A259" s="154" t="s">
        <v>435</v>
      </c>
      <c r="B259" s="163" t="s">
        <v>250</v>
      </c>
      <c r="C259" s="169"/>
      <c r="D259" s="329">
        <f>4.5+1.5+1</f>
        <v>7</v>
      </c>
      <c r="E259" s="328">
        <f>4.5+1.5+1</f>
        <v>7</v>
      </c>
      <c r="F259" s="107"/>
      <c r="G259" s="107"/>
    </row>
    <row r="260" spans="1:11" x14ac:dyDescent="0.25">
      <c r="A260" s="184" t="s">
        <v>436</v>
      </c>
      <c r="B260" s="163" t="s">
        <v>240</v>
      </c>
      <c r="C260" s="184"/>
      <c r="D260" s="329">
        <f>21.1+6.3</f>
        <v>27.400000000000002</v>
      </c>
      <c r="E260" s="328">
        <v>13.9</v>
      </c>
      <c r="F260" s="107"/>
      <c r="G260" s="107"/>
      <c r="H260" s="297"/>
      <c r="I260" s="297"/>
      <c r="J260" s="297"/>
      <c r="K260" s="297"/>
    </row>
    <row r="261" spans="1:11" ht="24" x14ac:dyDescent="0.25">
      <c r="A261" s="164" t="s">
        <v>437</v>
      </c>
      <c r="B261" s="265" t="s">
        <v>241</v>
      </c>
      <c r="C261" s="184"/>
      <c r="D261" s="384">
        <f>SUM(D262)</f>
        <v>10.199999999999999</v>
      </c>
      <c r="E261" s="391">
        <f>SUM(E262)</f>
        <v>1.8</v>
      </c>
      <c r="F261" s="107"/>
      <c r="G261" s="107"/>
      <c r="H261" s="297"/>
      <c r="I261" s="297"/>
      <c r="J261" s="297"/>
      <c r="K261" s="297"/>
    </row>
    <row r="262" spans="1:11" x14ac:dyDescent="0.25">
      <c r="A262" s="210" t="s">
        <v>438</v>
      </c>
      <c r="B262" s="167" t="s">
        <v>234</v>
      </c>
      <c r="C262" s="186"/>
      <c r="D262" s="399">
        <v>10.199999999999999</v>
      </c>
      <c r="E262" s="328">
        <v>1.8</v>
      </c>
      <c r="F262" s="107"/>
      <c r="G262" s="107"/>
      <c r="H262" s="297"/>
      <c r="I262" s="297"/>
      <c r="J262" s="297"/>
      <c r="K262" s="297"/>
    </row>
    <row r="263" spans="1:11" x14ac:dyDescent="0.25">
      <c r="A263" s="157" t="s">
        <v>150</v>
      </c>
      <c r="B263" s="158" t="s">
        <v>439</v>
      </c>
      <c r="C263" s="159"/>
      <c r="D263" s="381">
        <f>SUM(D265+D270)</f>
        <v>1325.8</v>
      </c>
      <c r="E263" s="452">
        <f>SUM(E265+E270)</f>
        <v>1236.3999999999999</v>
      </c>
      <c r="F263" s="110"/>
      <c r="G263" s="107"/>
      <c r="H263" s="297"/>
      <c r="I263" s="297"/>
      <c r="J263" s="297"/>
      <c r="K263" s="297"/>
    </row>
    <row r="264" spans="1:11" x14ac:dyDescent="0.25">
      <c r="A264" s="154"/>
      <c r="B264" s="156" t="s">
        <v>230</v>
      </c>
      <c r="C264" s="172"/>
      <c r="D264" s="326"/>
      <c r="E264" s="328"/>
      <c r="F264" s="107"/>
      <c r="G264" s="107"/>
      <c r="H264" s="297"/>
      <c r="I264" s="297"/>
      <c r="J264" s="297"/>
      <c r="K264" s="297"/>
    </row>
    <row r="265" spans="1:11" x14ac:dyDescent="0.25">
      <c r="A265" s="164" t="s">
        <v>440</v>
      </c>
      <c r="B265" s="182" t="s">
        <v>312</v>
      </c>
      <c r="C265" s="162" t="s">
        <v>112</v>
      </c>
      <c r="D265" s="382">
        <f>SUM(D266:D269)</f>
        <v>1314.1</v>
      </c>
      <c r="E265" s="391">
        <f>SUM(E266:E269)</f>
        <v>1230.8999999999999</v>
      </c>
      <c r="F265" s="111"/>
      <c r="G265" s="107"/>
      <c r="H265" s="295"/>
      <c r="I265" s="295"/>
      <c r="J265" s="295"/>
      <c r="K265" s="295"/>
    </row>
    <row r="266" spans="1:11" x14ac:dyDescent="0.25">
      <c r="A266" s="154" t="s">
        <v>441</v>
      </c>
      <c r="B266" s="163" t="s">
        <v>234</v>
      </c>
      <c r="C266" s="162"/>
      <c r="D266" s="326">
        <f>766.1+6</f>
        <v>772.1</v>
      </c>
      <c r="E266" s="328">
        <v>708</v>
      </c>
      <c r="F266" s="109"/>
    </row>
    <row r="267" spans="1:11" x14ac:dyDescent="0.25">
      <c r="A267" s="154" t="s">
        <v>442</v>
      </c>
      <c r="B267" s="163" t="s">
        <v>423</v>
      </c>
      <c r="C267" s="169"/>
      <c r="D267" s="326">
        <v>463.7</v>
      </c>
      <c r="E267" s="328">
        <v>454.1</v>
      </c>
      <c r="F267" s="107"/>
      <c r="G267" s="107"/>
    </row>
    <row r="268" spans="1:11" x14ac:dyDescent="0.25">
      <c r="A268" s="154" t="s">
        <v>443</v>
      </c>
      <c r="B268" s="163" t="s">
        <v>250</v>
      </c>
      <c r="C268" s="169"/>
      <c r="D268" s="326">
        <v>3</v>
      </c>
      <c r="E268" s="328">
        <v>3</v>
      </c>
      <c r="F268" s="107"/>
      <c r="G268" s="107"/>
    </row>
    <row r="269" spans="1:11" x14ac:dyDescent="0.25">
      <c r="A269" s="154" t="s">
        <v>444</v>
      </c>
      <c r="B269" s="163" t="s">
        <v>240</v>
      </c>
      <c r="C269" s="184"/>
      <c r="D269" s="326">
        <v>75.3</v>
      </c>
      <c r="E269" s="328">
        <v>65.8</v>
      </c>
      <c r="F269" s="107"/>
      <c r="G269" s="107"/>
    </row>
    <row r="270" spans="1:11" ht="24" x14ac:dyDescent="0.25">
      <c r="A270" s="164" t="s">
        <v>445</v>
      </c>
      <c r="B270" s="265" t="s">
        <v>241</v>
      </c>
      <c r="C270" s="172"/>
      <c r="D270" s="382">
        <f>SUM(D271)</f>
        <v>11.7</v>
      </c>
      <c r="E270" s="391">
        <f>SUM(E271)</f>
        <v>5.5</v>
      </c>
      <c r="F270" s="107"/>
      <c r="G270" s="107"/>
    </row>
    <row r="271" spans="1:11" x14ac:dyDescent="0.25">
      <c r="A271" s="210" t="s">
        <v>446</v>
      </c>
      <c r="B271" s="167" t="s">
        <v>234</v>
      </c>
      <c r="C271" s="191"/>
      <c r="D271" s="398">
        <v>11.7</v>
      </c>
      <c r="E271" s="328">
        <v>5.5</v>
      </c>
      <c r="F271" s="107"/>
      <c r="G271" s="107"/>
    </row>
    <row r="272" spans="1:11" x14ac:dyDescent="0.25">
      <c r="A272" s="157" t="s">
        <v>152</v>
      </c>
      <c r="B272" s="158" t="s">
        <v>447</v>
      </c>
      <c r="C272" s="159"/>
      <c r="D272" s="381">
        <f>SUM(D274+D278)</f>
        <v>841</v>
      </c>
      <c r="E272" s="452">
        <f>SUM(E274+E278)</f>
        <v>717.80000000000007</v>
      </c>
      <c r="F272" s="107"/>
      <c r="G272" s="107"/>
    </row>
    <row r="273" spans="1:12" x14ac:dyDescent="0.25">
      <c r="A273" s="154"/>
      <c r="B273" s="156" t="s">
        <v>230</v>
      </c>
      <c r="C273" s="172"/>
      <c r="D273" s="326"/>
      <c r="E273" s="328"/>
      <c r="F273" s="107"/>
      <c r="G273" s="107"/>
    </row>
    <row r="274" spans="1:12" x14ac:dyDescent="0.25">
      <c r="A274" s="164" t="s">
        <v>448</v>
      </c>
      <c r="B274" s="182" t="s">
        <v>312</v>
      </c>
      <c r="C274" s="162" t="s">
        <v>112</v>
      </c>
      <c r="D274" s="382">
        <f>SUM(D275:D277)</f>
        <v>833.5</v>
      </c>
      <c r="E274" s="391">
        <f>SUM(E275:E277)</f>
        <v>715.2</v>
      </c>
      <c r="F274" s="107"/>
      <c r="G274" s="107"/>
    </row>
    <row r="275" spans="1:12" x14ac:dyDescent="0.25">
      <c r="A275" s="154" t="s">
        <v>449</v>
      </c>
      <c r="B275" s="163" t="s">
        <v>234</v>
      </c>
      <c r="C275" s="162"/>
      <c r="D275" s="326">
        <f>789+11.5</f>
        <v>800.5</v>
      </c>
      <c r="E275" s="328">
        <v>695.1</v>
      </c>
      <c r="F275" s="107"/>
      <c r="G275" s="107"/>
    </row>
    <row r="276" spans="1:12" x14ac:dyDescent="0.25">
      <c r="A276" s="154" t="s">
        <v>450</v>
      </c>
      <c r="B276" s="163" t="s">
        <v>250</v>
      </c>
      <c r="C276" s="162"/>
      <c r="D276" s="326">
        <v>3</v>
      </c>
      <c r="E276" s="328">
        <v>3</v>
      </c>
      <c r="F276" s="107"/>
      <c r="G276" s="107"/>
    </row>
    <row r="277" spans="1:12" x14ac:dyDescent="0.25">
      <c r="A277" s="154" t="s">
        <v>451</v>
      </c>
      <c r="B277" s="163" t="s">
        <v>240</v>
      </c>
      <c r="C277" s="172"/>
      <c r="D277" s="326">
        <v>30</v>
      </c>
      <c r="E277" s="328">
        <v>17.100000000000001</v>
      </c>
      <c r="F277" s="107"/>
      <c r="G277" s="107"/>
    </row>
    <row r="278" spans="1:12" ht="21.75" customHeight="1" x14ac:dyDescent="0.25">
      <c r="A278" s="166" t="s">
        <v>452</v>
      </c>
      <c r="B278" s="324" t="s">
        <v>241</v>
      </c>
      <c r="C278" s="184"/>
      <c r="D278" s="382">
        <f>SUM(D279)</f>
        <v>7.5</v>
      </c>
      <c r="E278" s="391">
        <f>SUM(E279)</f>
        <v>2.6</v>
      </c>
      <c r="F278" s="107"/>
      <c r="G278" s="107"/>
    </row>
    <row r="279" spans="1:12" ht="12.75" customHeight="1" x14ac:dyDescent="0.25">
      <c r="A279" s="210" t="s">
        <v>453</v>
      </c>
      <c r="B279" s="167" t="s">
        <v>234</v>
      </c>
      <c r="C279" s="191"/>
      <c r="D279" s="398">
        <v>7.5</v>
      </c>
      <c r="E279" s="328">
        <v>2.6</v>
      </c>
      <c r="F279" s="107"/>
      <c r="G279" s="107"/>
    </row>
    <row r="280" spans="1:12" x14ac:dyDescent="0.25">
      <c r="A280" s="168" t="s">
        <v>154</v>
      </c>
      <c r="B280" s="211" t="s">
        <v>153</v>
      </c>
      <c r="C280" s="212"/>
      <c r="D280" s="387">
        <f>SUM(D282)</f>
        <v>1372.7</v>
      </c>
      <c r="E280" s="452">
        <f>SUM(E282)</f>
        <v>1103.7</v>
      </c>
      <c r="F280" s="110"/>
      <c r="G280" s="110"/>
      <c r="I280" s="107"/>
    </row>
    <row r="281" spans="1:12" x14ac:dyDescent="0.25">
      <c r="A281" s="184"/>
      <c r="B281" s="176" t="s">
        <v>230</v>
      </c>
      <c r="C281" s="169"/>
      <c r="D281" s="326"/>
      <c r="E281" s="328"/>
      <c r="F281" s="107"/>
      <c r="G281" s="107"/>
    </row>
    <row r="282" spans="1:12" x14ac:dyDescent="0.25">
      <c r="A282" s="166" t="s">
        <v>454</v>
      </c>
      <c r="B282" s="200" t="s">
        <v>312</v>
      </c>
      <c r="C282" s="169" t="s">
        <v>112</v>
      </c>
      <c r="D282" s="382">
        <f>SUM(D283:D284)</f>
        <v>1372.7</v>
      </c>
      <c r="E282" s="391">
        <f>SUM(E283:E284)</f>
        <v>1103.7</v>
      </c>
      <c r="F282" s="111"/>
      <c r="G282" s="111"/>
    </row>
    <row r="283" spans="1:12" x14ac:dyDescent="0.25">
      <c r="A283" s="166" t="s">
        <v>455</v>
      </c>
      <c r="B283" s="155" t="s">
        <v>456</v>
      </c>
      <c r="C283" s="169"/>
      <c r="D283" s="326">
        <v>294.7</v>
      </c>
      <c r="E283" s="328">
        <v>271.2</v>
      </c>
      <c r="F283" s="107"/>
      <c r="G283" s="297"/>
      <c r="H283" s="109"/>
      <c r="I283" s="109"/>
      <c r="J283" s="109"/>
      <c r="K283" s="109"/>
      <c r="L283" s="107"/>
    </row>
    <row r="284" spans="1:12" x14ac:dyDescent="0.25">
      <c r="A284" s="186" t="s">
        <v>457</v>
      </c>
      <c r="B284" s="227" t="s">
        <v>240</v>
      </c>
      <c r="C284" s="209"/>
      <c r="D284" s="398">
        <v>1078</v>
      </c>
      <c r="E284" s="331">
        <v>832.5</v>
      </c>
      <c r="F284" s="109"/>
      <c r="G284" s="109"/>
    </row>
    <row r="285" spans="1:12" s="296" customFormat="1" x14ac:dyDescent="0.25">
      <c r="A285" s="175" t="s">
        <v>156</v>
      </c>
      <c r="B285" s="168" t="s">
        <v>155</v>
      </c>
      <c r="C285" s="171"/>
      <c r="D285" s="387">
        <f>SUM(D287+D292)</f>
        <v>1332.0000000000002</v>
      </c>
      <c r="E285" s="390">
        <f>SUM(E287+E292)</f>
        <v>1056.3</v>
      </c>
      <c r="F285" s="105"/>
      <c r="G285" s="105"/>
    </row>
    <row r="286" spans="1:12" x14ac:dyDescent="0.25">
      <c r="A286" s="154"/>
      <c r="B286" s="156" t="s">
        <v>230</v>
      </c>
      <c r="C286" s="172"/>
      <c r="D286" s="326"/>
      <c r="E286" s="328"/>
      <c r="F286" s="107"/>
      <c r="G286" s="107"/>
    </row>
    <row r="287" spans="1:12" ht="24" x14ac:dyDescent="0.25">
      <c r="A287" s="164" t="s">
        <v>459</v>
      </c>
      <c r="B287" s="194" t="s">
        <v>460</v>
      </c>
      <c r="C287" s="162" t="s">
        <v>461</v>
      </c>
      <c r="D287" s="382">
        <f>SUM(D288:D291)</f>
        <v>1329.0000000000002</v>
      </c>
      <c r="E287" s="391">
        <f>SUM(E288:E291)</f>
        <v>1055.8</v>
      </c>
      <c r="F287" s="107"/>
      <c r="G287" s="107"/>
    </row>
    <row r="288" spans="1:12" ht="12.75" customHeight="1" x14ac:dyDescent="0.25">
      <c r="A288" s="154" t="s">
        <v>462</v>
      </c>
      <c r="B288" s="163" t="s">
        <v>234</v>
      </c>
      <c r="C288" s="162"/>
      <c r="D288" s="326">
        <f>1161.4+74.9</f>
        <v>1236.3000000000002</v>
      </c>
      <c r="E288" s="328">
        <v>1043.8</v>
      </c>
      <c r="F288" s="107"/>
      <c r="G288" s="107"/>
      <c r="H288" s="295"/>
      <c r="I288" s="295"/>
      <c r="J288" s="295"/>
      <c r="K288" s="295"/>
    </row>
    <row r="289" spans="1:11" ht="12.75" customHeight="1" x14ac:dyDescent="0.25">
      <c r="A289" s="154" t="s">
        <v>463</v>
      </c>
      <c r="B289" s="165" t="s">
        <v>250</v>
      </c>
      <c r="C289" s="162"/>
      <c r="D289" s="326">
        <v>12</v>
      </c>
      <c r="E289" s="328">
        <v>12</v>
      </c>
      <c r="F289" s="107"/>
      <c r="G289" s="107"/>
      <c r="H289" s="295"/>
      <c r="I289" s="295"/>
      <c r="J289" s="295"/>
      <c r="K289" s="295"/>
    </row>
    <row r="290" spans="1:11" ht="24.6" customHeight="1" x14ac:dyDescent="0.25">
      <c r="A290" s="154" t="s">
        <v>464</v>
      </c>
      <c r="B290" s="421" t="s">
        <v>865</v>
      </c>
      <c r="C290" s="162"/>
      <c r="D290" s="326">
        <v>77.7</v>
      </c>
      <c r="E290" s="328"/>
      <c r="F290" s="107"/>
      <c r="G290" s="107"/>
      <c r="H290" s="295"/>
      <c r="I290" s="295"/>
      <c r="J290" s="295"/>
      <c r="K290" s="295"/>
    </row>
    <row r="291" spans="1:11" ht="12.75" customHeight="1" x14ac:dyDescent="0.25">
      <c r="A291" s="154" t="s">
        <v>465</v>
      </c>
      <c r="B291" s="165" t="s">
        <v>240</v>
      </c>
      <c r="C291" s="162"/>
      <c r="D291" s="326">
        <v>3</v>
      </c>
      <c r="E291" s="328"/>
      <c r="F291" s="107"/>
      <c r="G291" s="107"/>
      <c r="H291" s="295"/>
      <c r="I291" s="295"/>
      <c r="J291" s="295"/>
      <c r="K291" s="295"/>
    </row>
    <row r="292" spans="1:11" ht="24.6" customHeight="1" x14ac:dyDescent="0.25">
      <c r="A292" s="154" t="s">
        <v>466</v>
      </c>
      <c r="B292" s="265" t="s">
        <v>241</v>
      </c>
      <c r="C292" s="162"/>
      <c r="D292" s="382">
        <f>SUM(D293)</f>
        <v>3</v>
      </c>
      <c r="E292" s="391">
        <f>SUM(E293)</f>
        <v>0.5</v>
      </c>
      <c r="F292" s="107"/>
      <c r="G292" s="107"/>
      <c r="H292" s="295"/>
      <c r="I292" s="295"/>
      <c r="J292" s="295"/>
      <c r="K292" s="295"/>
    </row>
    <row r="293" spans="1:11" x14ac:dyDescent="0.25">
      <c r="A293" s="154" t="s">
        <v>467</v>
      </c>
      <c r="B293" s="190" t="s">
        <v>234</v>
      </c>
      <c r="C293" s="160"/>
      <c r="D293" s="326">
        <v>3</v>
      </c>
      <c r="E293" s="328">
        <v>0.5</v>
      </c>
      <c r="F293" s="107"/>
      <c r="G293" s="107"/>
    </row>
    <row r="294" spans="1:11" s="296" customFormat="1" x14ac:dyDescent="0.25">
      <c r="A294" s="157" t="s">
        <v>158</v>
      </c>
      <c r="B294" s="158" t="s">
        <v>157</v>
      </c>
      <c r="C294" s="159"/>
      <c r="D294" s="381">
        <f>SUM(D296+D301)</f>
        <v>785.8</v>
      </c>
      <c r="E294" s="389">
        <f>SUM(E296+E301)</f>
        <v>258.59999999999997</v>
      </c>
      <c r="F294" s="110"/>
      <c r="G294" s="107"/>
    </row>
    <row r="295" spans="1:11" x14ac:dyDescent="0.25">
      <c r="A295" s="154"/>
      <c r="B295" s="156" t="s">
        <v>230</v>
      </c>
      <c r="C295" s="172"/>
      <c r="D295" s="326"/>
      <c r="E295" s="328"/>
      <c r="F295" s="107"/>
      <c r="G295" s="107"/>
      <c r="H295" s="295"/>
      <c r="I295" s="295"/>
      <c r="J295" s="295"/>
      <c r="K295" s="295"/>
    </row>
    <row r="296" spans="1:11" ht="24" x14ac:dyDescent="0.25">
      <c r="A296" s="164" t="s">
        <v>468</v>
      </c>
      <c r="B296" s="194" t="s">
        <v>460</v>
      </c>
      <c r="C296" s="162" t="s">
        <v>461</v>
      </c>
      <c r="D296" s="382">
        <f>SUM(D297:D300)</f>
        <v>781.8</v>
      </c>
      <c r="E296" s="391">
        <f>SUM(E297:E300)</f>
        <v>257.89999999999998</v>
      </c>
      <c r="F296" s="111"/>
      <c r="G296" s="107"/>
      <c r="H296" s="295"/>
      <c r="I296" s="295"/>
      <c r="J296" s="295"/>
      <c r="K296" s="295"/>
    </row>
    <row r="297" spans="1:11" x14ac:dyDescent="0.25">
      <c r="A297" s="154" t="s">
        <v>469</v>
      </c>
      <c r="B297" s="163" t="s">
        <v>234</v>
      </c>
      <c r="C297" s="162"/>
      <c r="D297" s="326">
        <f>255.3+2+231.3+0.4</f>
        <v>489</v>
      </c>
      <c r="E297" s="328">
        <f>225.4+10.2</f>
        <v>235.6</v>
      </c>
      <c r="F297" s="109"/>
      <c r="G297" s="107"/>
      <c r="H297" s="295"/>
      <c r="I297" s="295"/>
      <c r="J297" s="295"/>
      <c r="K297" s="295"/>
    </row>
    <row r="298" spans="1:11" x14ac:dyDescent="0.25">
      <c r="A298" s="154" t="s">
        <v>470</v>
      </c>
      <c r="B298" s="165" t="s">
        <v>250</v>
      </c>
      <c r="C298" s="162"/>
      <c r="D298" s="326">
        <v>7</v>
      </c>
      <c r="E298" s="328">
        <v>7</v>
      </c>
      <c r="F298" s="109"/>
      <c r="G298" s="107"/>
      <c r="H298" s="295"/>
      <c r="I298" s="295"/>
      <c r="J298" s="295"/>
      <c r="K298" s="295"/>
    </row>
    <row r="299" spans="1:11" x14ac:dyDescent="0.25">
      <c r="A299" s="154" t="s">
        <v>471</v>
      </c>
      <c r="B299" s="213" t="s">
        <v>240</v>
      </c>
      <c r="C299" s="156"/>
      <c r="D299" s="326">
        <v>20</v>
      </c>
      <c r="E299" s="328">
        <v>2.4</v>
      </c>
      <c r="F299" s="107"/>
      <c r="G299" s="107"/>
      <c r="H299" s="295"/>
      <c r="I299" s="295"/>
      <c r="J299" s="295"/>
      <c r="K299" s="295"/>
    </row>
    <row r="300" spans="1:11" ht="33.6" customHeight="1" x14ac:dyDescent="0.25">
      <c r="A300" s="154" t="s">
        <v>472</v>
      </c>
      <c r="B300" s="155" t="s">
        <v>473</v>
      </c>
      <c r="C300" s="332"/>
      <c r="D300" s="326">
        <v>265.8</v>
      </c>
      <c r="E300" s="328">
        <v>12.9</v>
      </c>
      <c r="F300" s="107"/>
      <c r="G300" s="107"/>
      <c r="H300" s="295"/>
      <c r="I300" s="295"/>
      <c r="J300" s="295"/>
      <c r="K300" s="295"/>
    </row>
    <row r="301" spans="1:11" ht="24" x14ac:dyDescent="0.25">
      <c r="A301" s="154" t="s">
        <v>474</v>
      </c>
      <c r="B301" s="246" t="s">
        <v>241</v>
      </c>
      <c r="C301" s="332"/>
      <c r="D301" s="382">
        <f>SUM(D302)</f>
        <v>4</v>
      </c>
      <c r="E301" s="391">
        <f>SUM(E302)</f>
        <v>0.7</v>
      </c>
      <c r="F301" s="107"/>
      <c r="G301" s="107"/>
      <c r="H301" s="295"/>
      <c r="I301" s="295"/>
      <c r="J301" s="295"/>
      <c r="K301" s="295"/>
    </row>
    <row r="302" spans="1:11" ht="12.75" customHeight="1" x14ac:dyDescent="0.25">
      <c r="A302" s="210" t="s">
        <v>475</v>
      </c>
      <c r="B302" s="167" t="s">
        <v>234</v>
      </c>
      <c r="C302" s="160"/>
      <c r="D302" s="326">
        <v>4</v>
      </c>
      <c r="E302" s="328">
        <v>0.7</v>
      </c>
      <c r="F302" s="107"/>
    </row>
    <row r="303" spans="1:11" x14ac:dyDescent="0.25">
      <c r="A303" s="178" t="s">
        <v>160</v>
      </c>
      <c r="B303" s="158" t="s">
        <v>159</v>
      </c>
      <c r="C303" s="215"/>
      <c r="D303" s="381">
        <f>SUM(D305+D309)</f>
        <v>964.1</v>
      </c>
      <c r="E303" s="389">
        <f>SUM(E305+E309)</f>
        <v>686.5</v>
      </c>
      <c r="F303" s="110"/>
      <c r="G303" s="110"/>
    </row>
    <row r="304" spans="1:11" x14ac:dyDescent="0.25">
      <c r="A304" s="154"/>
      <c r="B304" s="156" t="s">
        <v>230</v>
      </c>
      <c r="C304" s="156"/>
      <c r="D304" s="329"/>
      <c r="E304" s="328"/>
      <c r="F304" s="107"/>
      <c r="G304" s="107"/>
    </row>
    <row r="305" spans="1:7" ht="24" x14ac:dyDescent="0.25">
      <c r="A305" s="177" t="s">
        <v>476</v>
      </c>
      <c r="B305" s="194" t="s">
        <v>460</v>
      </c>
      <c r="C305" s="162" t="s">
        <v>461</v>
      </c>
      <c r="D305" s="382">
        <f>SUM(D306:D308)</f>
        <v>950.80000000000007</v>
      </c>
      <c r="E305" s="391">
        <f>SUM(E306:E308)</f>
        <v>683.1</v>
      </c>
      <c r="F305" s="111"/>
      <c r="G305" s="111"/>
    </row>
    <row r="306" spans="1:7" x14ac:dyDescent="0.25">
      <c r="A306" s="181" t="s">
        <v>477</v>
      </c>
      <c r="B306" s="163" t="s">
        <v>234</v>
      </c>
      <c r="C306" s="162"/>
      <c r="D306" s="326">
        <v>656.7</v>
      </c>
      <c r="E306" s="328">
        <v>551.1</v>
      </c>
      <c r="F306" s="107"/>
      <c r="G306" s="107"/>
    </row>
    <row r="307" spans="1:7" x14ac:dyDescent="0.25">
      <c r="A307" s="216" t="s">
        <v>478</v>
      </c>
      <c r="B307" s="174" t="s">
        <v>250</v>
      </c>
      <c r="C307" s="162"/>
      <c r="D307" s="326">
        <v>3</v>
      </c>
      <c r="E307" s="328">
        <v>3</v>
      </c>
      <c r="F307" s="107"/>
      <c r="G307" s="107"/>
    </row>
    <row r="308" spans="1:7" x14ac:dyDescent="0.25">
      <c r="A308" s="216" t="s">
        <v>479</v>
      </c>
      <c r="B308" s="174" t="s">
        <v>240</v>
      </c>
      <c r="C308" s="162"/>
      <c r="D308" s="326">
        <f>10+281.1</f>
        <v>291.10000000000002</v>
      </c>
      <c r="E308" s="328">
        <v>129</v>
      </c>
      <c r="F308" s="107"/>
      <c r="G308" s="107"/>
    </row>
    <row r="309" spans="1:7" ht="22.5" customHeight="1" x14ac:dyDescent="0.25">
      <c r="A309" s="216" t="s">
        <v>480</v>
      </c>
      <c r="B309" s="333" t="s">
        <v>241</v>
      </c>
      <c r="C309" s="162"/>
      <c r="D309" s="382">
        <f>SUM(D310)</f>
        <v>13.3</v>
      </c>
      <c r="E309" s="391">
        <f>SUM(E310)</f>
        <v>3.4</v>
      </c>
      <c r="F309" s="107"/>
      <c r="G309" s="107"/>
    </row>
    <row r="310" spans="1:7" x14ac:dyDescent="0.25">
      <c r="A310" s="216" t="s">
        <v>481</v>
      </c>
      <c r="B310" s="217" t="s">
        <v>234</v>
      </c>
      <c r="C310" s="160"/>
      <c r="D310" s="326">
        <v>13.3</v>
      </c>
      <c r="E310" s="328">
        <v>3.4</v>
      </c>
      <c r="F310" s="107"/>
      <c r="G310" s="107"/>
    </row>
    <row r="311" spans="1:7" x14ac:dyDescent="0.25">
      <c r="A311" s="178" t="s">
        <v>162</v>
      </c>
      <c r="B311" s="158" t="s">
        <v>161</v>
      </c>
      <c r="C311" s="218"/>
      <c r="D311" s="381">
        <f>SUM(D313+D317)</f>
        <v>246.79999999999998</v>
      </c>
      <c r="E311" s="389">
        <f>SUM(E313+E317)</f>
        <v>190.6</v>
      </c>
      <c r="F311" s="107"/>
      <c r="G311" s="107"/>
    </row>
    <row r="312" spans="1:7" x14ac:dyDescent="0.25">
      <c r="A312" s="154"/>
      <c r="B312" s="156" t="s">
        <v>230</v>
      </c>
      <c r="C312" s="172"/>
      <c r="D312" s="326"/>
      <c r="E312" s="328"/>
      <c r="F312" s="107"/>
      <c r="G312" s="107"/>
    </row>
    <row r="313" spans="1:7" ht="24" x14ac:dyDescent="0.25">
      <c r="A313" s="177" t="s">
        <v>482</v>
      </c>
      <c r="B313" s="194" t="s">
        <v>460</v>
      </c>
      <c r="C313" s="162" t="s">
        <v>461</v>
      </c>
      <c r="D313" s="382">
        <f>SUM(D314:D316)</f>
        <v>241.2</v>
      </c>
      <c r="E313" s="391">
        <f>SUM(E314:E316)</f>
        <v>188</v>
      </c>
      <c r="F313" s="107"/>
      <c r="G313" s="107"/>
    </row>
    <row r="314" spans="1:7" x14ac:dyDescent="0.25">
      <c r="A314" s="181" t="s">
        <v>483</v>
      </c>
      <c r="B314" s="163" t="s">
        <v>234</v>
      </c>
      <c r="C314" s="162"/>
      <c r="D314" s="326">
        <f>232.7+5</f>
        <v>237.7</v>
      </c>
      <c r="E314" s="328">
        <v>186.5</v>
      </c>
      <c r="F314" s="107"/>
      <c r="G314" s="107"/>
    </row>
    <row r="315" spans="1:7" x14ac:dyDescent="0.25">
      <c r="A315" s="181" t="s">
        <v>484</v>
      </c>
      <c r="B315" s="165" t="s">
        <v>250</v>
      </c>
      <c r="C315" s="162"/>
      <c r="D315" s="326">
        <v>1.5</v>
      </c>
      <c r="E315" s="328">
        <v>1.5</v>
      </c>
      <c r="F315" s="107"/>
      <c r="G315" s="107"/>
    </row>
    <row r="316" spans="1:7" x14ac:dyDescent="0.25">
      <c r="A316" s="181" t="s">
        <v>485</v>
      </c>
      <c r="B316" s="165" t="s">
        <v>240</v>
      </c>
      <c r="C316" s="162"/>
      <c r="D316" s="326">
        <v>2</v>
      </c>
      <c r="E316" s="328"/>
      <c r="F316" s="107"/>
      <c r="G316" s="107"/>
    </row>
    <row r="317" spans="1:7" ht="24" x14ac:dyDescent="0.25">
      <c r="A317" s="181" t="s">
        <v>486</v>
      </c>
      <c r="B317" s="265" t="s">
        <v>241</v>
      </c>
      <c r="C317" s="162"/>
      <c r="D317" s="382">
        <f>SUM(D318)</f>
        <v>5.6</v>
      </c>
      <c r="E317" s="391">
        <f>SUM(E318)</f>
        <v>2.6</v>
      </c>
      <c r="F317" s="107"/>
      <c r="G317" s="107"/>
    </row>
    <row r="318" spans="1:7" x14ac:dyDescent="0.25">
      <c r="A318" s="181" t="s">
        <v>487</v>
      </c>
      <c r="B318" s="190" t="s">
        <v>234</v>
      </c>
      <c r="C318" s="162"/>
      <c r="D318" s="398">
        <v>5.6</v>
      </c>
      <c r="E318" s="331">
        <v>2.6</v>
      </c>
      <c r="F318" s="107"/>
      <c r="G318" s="107"/>
    </row>
    <row r="319" spans="1:7" x14ac:dyDescent="0.25">
      <c r="A319" s="157" t="s">
        <v>164</v>
      </c>
      <c r="B319" s="158" t="s">
        <v>163</v>
      </c>
      <c r="C319" s="219"/>
      <c r="D319" s="396">
        <f>SUM(D321+D325)</f>
        <v>254.9</v>
      </c>
      <c r="E319" s="389">
        <f>SUM(E321+E325)</f>
        <v>200</v>
      </c>
      <c r="F319" s="107"/>
      <c r="G319" s="107"/>
    </row>
    <row r="320" spans="1:7" x14ac:dyDescent="0.25">
      <c r="A320" s="154"/>
      <c r="B320" s="156" t="s">
        <v>230</v>
      </c>
      <c r="C320" s="184"/>
      <c r="D320" s="329"/>
      <c r="E320" s="328"/>
      <c r="F320" s="107"/>
      <c r="G320" s="107"/>
    </row>
    <row r="321" spans="1:7" ht="24" x14ac:dyDescent="0.25">
      <c r="A321" s="164" t="s">
        <v>488</v>
      </c>
      <c r="B321" s="194" t="s">
        <v>460</v>
      </c>
      <c r="C321" s="169" t="s">
        <v>461</v>
      </c>
      <c r="D321" s="461">
        <f>SUM(D322:D324)</f>
        <v>252</v>
      </c>
      <c r="E321" s="391">
        <f>SUM(E322:E324)</f>
        <v>200</v>
      </c>
      <c r="F321" s="107"/>
      <c r="G321" s="107"/>
    </row>
    <row r="322" spans="1:7" x14ac:dyDescent="0.25">
      <c r="A322" s="154" t="s">
        <v>489</v>
      </c>
      <c r="B322" s="163" t="s">
        <v>234</v>
      </c>
      <c r="C322" s="169"/>
      <c r="D322" s="454">
        <f>244.7+5</f>
        <v>249.7</v>
      </c>
      <c r="E322" s="328">
        <v>198.5</v>
      </c>
      <c r="F322" s="107"/>
      <c r="G322" s="107"/>
    </row>
    <row r="323" spans="1:7" x14ac:dyDescent="0.25">
      <c r="A323" s="154" t="s">
        <v>490</v>
      </c>
      <c r="B323" s="165" t="s">
        <v>250</v>
      </c>
      <c r="C323" s="169"/>
      <c r="D323" s="454">
        <v>1.5</v>
      </c>
      <c r="E323" s="328">
        <v>1.5</v>
      </c>
      <c r="F323" s="107"/>
      <c r="G323" s="107"/>
    </row>
    <row r="324" spans="1:7" x14ac:dyDescent="0.25">
      <c r="A324" s="154" t="s">
        <v>491</v>
      </c>
      <c r="B324" s="165" t="s">
        <v>240</v>
      </c>
      <c r="C324" s="169"/>
      <c r="D324" s="454">
        <v>0.8</v>
      </c>
      <c r="E324" s="328"/>
      <c r="F324" s="107"/>
      <c r="G324" s="107"/>
    </row>
    <row r="325" spans="1:7" ht="24" x14ac:dyDescent="0.25">
      <c r="A325" s="154" t="s">
        <v>492</v>
      </c>
      <c r="B325" s="265" t="s">
        <v>241</v>
      </c>
      <c r="C325" s="169"/>
      <c r="D325" s="454">
        <f>SUM(D326)</f>
        <v>2.9</v>
      </c>
      <c r="E325" s="328"/>
      <c r="F325" s="107"/>
      <c r="G325" s="107"/>
    </row>
    <row r="326" spans="1:7" x14ac:dyDescent="0.25">
      <c r="A326" s="154" t="s">
        <v>491</v>
      </c>
      <c r="B326" s="190" t="s">
        <v>234</v>
      </c>
      <c r="C326" s="209"/>
      <c r="D326" s="454">
        <v>2.9</v>
      </c>
      <c r="E326" s="328"/>
      <c r="F326" s="107"/>
      <c r="G326" s="107"/>
    </row>
    <row r="327" spans="1:7" x14ac:dyDescent="0.25">
      <c r="A327" s="157" t="s">
        <v>166</v>
      </c>
      <c r="B327" s="158" t="s">
        <v>165</v>
      </c>
      <c r="C327" s="218"/>
      <c r="D327" s="381">
        <f>SUM(D329+D333)</f>
        <v>315.09999999999997</v>
      </c>
      <c r="E327" s="389">
        <f>SUM(E329+E333)</f>
        <v>236.7</v>
      </c>
      <c r="F327" s="107"/>
      <c r="G327" s="107"/>
    </row>
    <row r="328" spans="1:7" x14ac:dyDescent="0.25">
      <c r="A328" s="154"/>
      <c r="B328" s="156" t="s">
        <v>230</v>
      </c>
      <c r="C328" s="172"/>
      <c r="D328" s="326"/>
      <c r="E328" s="328"/>
      <c r="F328" s="107"/>
      <c r="G328" s="107"/>
    </row>
    <row r="329" spans="1:7" ht="24" x14ac:dyDescent="0.25">
      <c r="A329" s="164" t="s">
        <v>493</v>
      </c>
      <c r="B329" s="194" t="s">
        <v>460</v>
      </c>
      <c r="C329" s="162" t="s">
        <v>461</v>
      </c>
      <c r="D329" s="382">
        <f>SUM(D330:D332)</f>
        <v>310.89999999999998</v>
      </c>
      <c r="E329" s="391">
        <f>SUM(E330:E332)</f>
        <v>235.2</v>
      </c>
      <c r="F329" s="107"/>
      <c r="G329" s="107"/>
    </row>
    <row r="330" spans="1:7" x14ac:dyDescent="0.25">
      <c r="A330" s="154" t="s">
        <v>494</v>
      </c>
      <c r="B330" s="163" t="s">
        <v>234</v>
      </c>
      <c r="C330" s="162"/>
      <c r="D330" s="326">
        <f>302.4+2</f>
        <v>304.39999999999998</v>
      </c>
      <c r="E330" s="328">
        <v>233.7</v>
      </c>
      <c r="F330" s="107"/>
      <c r="G330" s="107"/>
    </row>
    <row r="331" spans="1:7" x14ac:dyDescent="0.25">
      <c r="A331" s="154" t="s">
        <v>495</v>
      </c>
      <c r="B331" s="165" t="s">
        <v>250</v>
      </c>
      <c r="C331" s="162"/>
      <c r="D331" s="326">
        <v>1.5</v>
      </c>
      <c r="E331" s="328">
        <v>1.5</v>
      </c>
      <c r="F331" s="107"/>
      <c r="G331" s="107"/>
    </row>
    <row r="332" spans="1:7" x14ac:dyDescent="0.25">
      <c r="A332" s="154" t="s">
        <v>496</v>
      </c>
      <c r="B332" s="165" t="s">
        <v>240</v>
      </c>
      <c r="C332" s="162"/>
      <c r="D332" s="326">
        <v>5</v>
      </c>
      <c r="E332" s="328"/>
      <c r="F332" s="107"/>
      <c r="G332" s="107"/>
    </row>
    <row r="333" spans="1:7" ht="24" x14ac:dyDescent="0.25">
      <c r="A333" s="154" t="s">
        <v>497</v>
      </c>
      <c r="B333" s="165" t="s">
        <v>241</v>
      </c>
      <c r="C333" s="162"/>
      <c r="D333" s="326">
        <f>SUM(D334)</f>
        <v>4.2</v>
      </c>
      <c r="E333" s="328">
        <f>SUM(E334)</f>
        <v>1.5</v>
      </c>
      <c r="F333" s="107"/>
      <c r="G333" s="107"/>
    </row>
    <row r="334" spans="1:7" x14ac:dyDescent="0.25">
      <c r="A334" s="154" t="s">
        <v>498</v>
      </c>
      <c r="B334" s="190" t="s">
        <v>234</v>
      </c>
      <c r="C334" s="162"/>
      <c r="D334" s="398">
        <v>4.2</v>
      </c>
      <c r="E334" s="328">
        <v>1.5</v>
      </c>
      <c r="F334" s="107"/>
      <c r="G334" s="107"/>
    </row>
    <row r="335" spans="1:7" x14ac:dyDescent="0.25">
      <c r="A335" s="157" t="s">
        <v>168</v>
      </c>
      <c r="B335" s="158" t="s">
        <v>167</v>
      </c>
      <c r="C335" s="219"/>
      <c r="D335" s="396">
        <f>SUM(D337+D341)</f>
        <v>429.20000000000005</v>
      </c>
      <c r="E335" s="452">
        <f>SUM(E337+E341)</f>
        <v>310.8</v>
      </c>
      <c r="F335" s="107"/>
      <c r="G335" s="107"/>
    </row>
    <row r="336" spans="1:7" x14ac:dyDescent="0.25">
      <c r="A336" s="154"/>
      <c r="B336" s="156" t="s">
        <v>230</v>
      </c>
      <c r="C336" s="184"/>
      <c r="D336" s="329"/>
      <c r="E336" s="328"/>
      <c r="F336" s="107"/>
      <c r="G336" s="107"/>
    </row>
    <row r="337" spans="1:13" ht="24" x14ac:dyDescent="0.25">
      <c r="A337" s="164" t="s">
        <v>499</v>
      </c>
      <c r="B337" s="194" t="s">
        <v>460</v>
      </c>
      <c r="C337" s="169" t="s">
        <v>461</v>
      </c>
      <c r="D337" s="384">
        <f>SUM(D338:D340)</f>
        <v>427.1</v>
      </c>
      <c r="E337" s="391">
        <f>SUM(E338:E340)</f>
        <v>310</v>
      </c>
      <c r="F337" s="107"/>
      <c r="G337" s="107"/>
    </row>
    <row r="338" spans="1:13" x14ac:dyDescent="0.25">
      <c r="A338" s="154" t="s">
        <v>500</v>
      </c>
      <c r="B338" s="163" t="s">
        <v>234</v>
      </c>
      <c r="C338" s="169"/>
      <c r="D338" s="329">
        <f>370.6+40</f>
        <v>410.6</v>
      </c>
      <c r="E338" s="328">
        <v>308.5</v>
      </c>
      <c r="F338" s="107"/>
      <c r="G338" s="107"/>
    </row>
    <row r="339" spans="1:13" x14ac:dyDescent="0.25">
      <c r="A339" s="154" t="s">
        <v>501</v>
      </c>
      <c r="B339" s="165" t="s">
        <v>250</v>
      </c>
      <c r="C339" s="169"/>
      <c r="D339" s="329">
        <v>1.5</v>
      </c>
      <c r="E339" s="328">
        <v>1.5</v>
      </c>
      <c r="F339" s="107"/>
      <c r="G339" s="107"/>
    </row>
    <row r="340" spans="1:13" x14ac:dyDescent="0.25">
      <c r="A340" s="154" t="s">
        <v>502</v>
      </c>
      <c r="B340" s="165" t="s">
        <v>240</v>
      </c>
      <c r="C340" s="169"/>
      <c r="D340" s="329">
        <v>15</v>
      </c>
      <c r="E340" s="328"/>
      <c r="F340" s="107"/>
      <c r="G340" s="107"/>
    </row>
    <row r="341" spans="1:13" ht="24" x14ac:dyDescent="0.25">
      <c r="A341" s="154" t="s">
        <v>503</v>
      </c>
      <c r="B341" s="265" t="s">
        <v>241</v>
      </c>
      <c r="C341" s="169"/>
      <c r="D341" s="329">
        <f>SUM(D342)</f>
        <v>2.1</v>
      </c>
      <c r="E341" s="328">
        <f>SUM(E342)</f>
        <v>0.8</v>
      </c>
      <c r="F341" s="107"/>
      <c r="G341" s="107"/>
    </row>
    <row r="342" spans="1:13" x14ac:dyDescent="0.25">
      <c r="A342" s="154" t="s">
        <v>504</v>
      </c>
      <c r="B342" s="457" t="s">
        <v>234</v>
      </c>
      <c r="C342" s="209"/>
      <c r="D342" s="329">
        <v>2.1</v>
      </c>
      <c r="E342" s="328">
        <v>0.8</v>
      </c>
      <c r="F342" s="107"/>
      <c r="G342" s="107"/>
    </row>
    <row r="343" spans="1:13" x14ac:dyDescent="0.25">
      <c r="A343" s="157" t="s">
        <v>170</v>
      </c>
      <c r="B343" s="158" t="s">
        <v>169</v>
      </c>
      <c r="C343" s="220"/>
      <c r="D343" s="381">
        <f>SUM(D345+D349)</f>
        <v>263.60000000000002</v>
      </c>
      <c r="E343" s="452">
        <f>SUM(E345+E349)</f>
        <v>198.9</v>
      </c>
      <c r="F343" s="107"/>
      <c r="G343" s="107"/>
    </row>
    <row r="344" spans="1:13" x14ac:dyDescent="0.25">
      <c r="A344" s="154"/>
      <c r="B344" s="156" t="s">
        <v>230</v>
      </c>
      <c r="C344" s="154"/>
      <c r="D344" s="326"/>
      <c r="E344" s="328"/>
      <c r="F344" s="107"/>
      <c r="G344" s="107"/>
    </row>
    <row r="345" spans="1:13" ht="24" x14ac:dyDescent="0.25">
      <c r="A345" s="164" t="s">
        <v>505</v>
      </c>
      <c r="B345" s="194" t="s">
        <v>460</v>
      </c>
      <c r="C345" s="214" t="s">
        <v>461</v>
      </c>
      <c r="D345" s="382">
        <f>SUM(D346:D348)</f>
        <v>260.60000000000002</v>
      </c>
      <c r="E345" s="383">
        <f>SUM(E346:E348)</f>
        <v>198.5</v>
      </c>
      <c r="F345" s="107"/>
      <c r="G345" s="107"/>
      <c r="I345" s="107"/>
    </row>
    <row r="346" spans="1:13" x14ac:dyDescent="0.25">
      <c r="A346" s="154" t="s">
        <v>506</v>
      </c>
      <c r="B346" s="163" t="s">
        <v>234</v>
      </c>
      <c r="C346" s="214"/>
      <c r="D346" s="326">
        <v>254.1</v>
      </c>
      <c r="E346" s="327">
        <v>197</v>
      </c>
      <c r="F346" s="107"/>
      <c r="G346" s="107"/>
    </row>
    <row r="347" spans="1:13" x14ac:dyDescent="0.25">
      <c r="A347" s="154" t="s">
        <v>507</v>
      </c>
      <c r="B347" s="165" t="s">
        <v>250</v>
      </c>
      <c r="C347" s="214"/>
      <c r="D347" s="326">
        <v>1.5</v>
      </c>
      <c r="E347" s="327">
        <v>1.5</v>
      </c>
      <c r="F347" s="107"/>
      <c r="G347" s="107"/>
      <c r="H347" s="295"/>
      <c r="I347" s="295"/>
      <c r="J347" s="295"/>
      <c r="K347" s="295"/>
      <c r="M347" s="107"/>
    </row>
    <row r="348" spans="1:13" x14ac:dyDescent="0.25">
      <c r="A348" s="154" t="s">
        <v>508</v>
      </c>
      <c r="B348" s="165" t="s">
        <v>240</v>
      </c>
      <c r="C348" s="214"/>
      <c r="D348" s="326">
        <v>5</v>
      </c>
      <c r="E348" s="327"/>
      <c r="F348" s="107"/>
      <c r="G348" s="107"/>
      <c r="H348" s="295"/>
      <c r="I348" s="295"/>
      <c r="J348" s="295"/>
      <c r="K348" s="295"/>
      <c r="M348" s="107"/>
    </row>
    <row r="349" spans="1:13" ht="24" x14ac:dyDescent="0.25">
      <c r="A349" s="154" t="s">
        <v>509</v>
      </c>
      <c r="B349" s="165" t="s">
        <v>241</v>
      </c>
      <c r="C349" s="214"/>
      <c r="D349" s="326">
        <f>SUM(D350)</f>
        <v>3</v>
      </c>
      <c r="E349" s="327">
        <f>SUM(E350)</f>
        <v>0.4</v>
      </c>
      <c r="F349" s="107"/>
      <c r="G349" s="107"/>
      <c r="H349" s="295"/>
      <c r="I349" s="295"/>
      <c r="J349" s="295"/>
      <c r="K349" s="295"/>
      <c r="M349" s="107"/>
    </row>
    <row r="350" spans="1:13" x14ac:dyDescent="0.25">
      <c r="A350" s="154" t="s">
        <v>510</v>
      </c>
      <c r="B350" s="190" t="s">
        <v>234</v>
      </c>
      <c r="C350" s="221"/>
      <c r="D350" s="398">
        <v>3</v>
      </c>
      <c r="E350" s="327">
        <v>0.4</v>
      </c>
      <c r="F350" s="107"/>
      <c r="G350" s="107"/>
    </row>
    <row r="351" spans="1:13" x14ac:dyDescent="0.25">
      <c r="A351" s="158" t="s">
        <v>172</v>
      </c>
      <c r="B351" s="222" t="s">
        <v>171</v>
      </c>
      <c r="C351" s="199"/>
      <c r="D351" s="393">
        <f>SUM(D353+D357)</f>
        <v>1329.6000000000001</v>
      </c>
      <c r="E351" s="397">
        <f>SUM(E353+E357)</f>
        <v>622.29999999999995</v>
      </c>
      <c r="F351" s="110"/>
      <c r="G351" s="110"/>
    </row>
    <row r="352" spans="1:13" x14ac:dyDescent="0.25">
      <c r="A352" s="184"/>
      <c r="B352" s="160" t="s">
        <v>230</v>
      </c>
      <c r="C352" s="156"/>
      <c r="D352" s="329"/>
      <c r="E352" s="327"/>
      <c r="F352" s="107"/>
      <c r="G352" s="107"/>
    </row>
    <row r="353" spans="1:7" x14ac:dyDescent="0.25">
      <c r="A353" s="184" t="s">
        <v>511</v>
      </c>
      <c r="B353" s="223" t="s">
        <v>512</v>
      </c>
      <c r="C353" s="169" t="s">
        <v>461</v>
      </c>
      <c r="D353" s="384">
        <f>SUM(D354:D356)</f>
        <v>1317.4</v>
      </c>
      <c r="E353" s="383">
        <f>SUM(E354:E356)</f>
        <v>619</v>
      </c>
      <c r="F353" s="112"/>
      <c r="G353" s="112"/>
    </row>
    <row r="354" spans="1:7" x14ac:dyDescent="0.25">
      <c r="A354" s="184" t="s">
        <v>513</v>
      </c>
      <c r="B354" s="197" t="s">
        <v>234</v>
      </c>
      <c r="C354" s="169"/>
      <c r="D354" s="329">
        <f>782.4+471</f>
        <v>1253.4000000000001</v>
      </c>
      <c r="E354" s="327">
        <v>593</v>
      </c>
      <c r="F354" s="107"/>
      <c r="G354" s="107"/>
    </row>
    <row r="355" spans="1:7" x14ac:dyDescent="0.25">
      <c r="A355" s="184" t="s">
        <v>514</v>
      </c>
      <c r="B355" s="197" t="s">
        <v>250</v>
      </c>
      <c r="C355" s="169"/>
      <c r="D355" s="329">
        <v>4</v>
      </c>
      <c r="E355" s="327">
        <v>4</v>
      </c>
      <c r="F355" s="107"/>
      <c r="G355" s="107"/>
    </row>
    <row r="356" spans="1:7" x14ac:dyDescent="0.25">
      <c r="A356" s="184" t="s">
        <v>515</v>
      </c>
      <c r="B356" s="197" t="s">
        <v>240</v>
      </c>
      <c r="C356" s="156"/>
      <c r="D356" s="329">
        <v>60</v>
      </c>
      <c r="E356" s="327">
        <v>22</v>
      </c>
      <c r="F356" s="107"/>
      <c r="G356" s="107"/>
    </row>
    <row r="357" spans="1:7" ht="24" x14ac:dyDescent="0.25">
      <c r="A357" s="184" t="s">
        <v>516</v>
      </c>
      <c r="B357" s="224" t="s">
        <v>241</v>
      </c>
      <c r="C357" s="169" t="s">
        <v>461</v>
      </c>
      <c r="D357" s="329">
        <f>SUM(D358)</f>
        <v>12.2</v>
      </c>
      <c r="E357" s="327">
        <f>SUM(E358)</f>
        <v>3.3</v>
      </c>
      <c r="F357" s="107"/>
      <c r="G357" s="107"/>
    </row>
    <row r="358" spans="1:7" x14ac:dyDescent="0.25">
      <c r="A358" s="186" t="s">
        <v>517</v>
      </c>
      <c r="B358" s="197" t="s">
        <v>234</v>
      </c>
      <c r="C358" s="170"/>
      <c r="D358" s="399">
        <v>12.2</v>
      </c>
      <c r="E358" s="386">
        <v>3.3</v>
      </c>
      <c r="F358" s="107"/>
      <c r="G358" s="107"/>
    </row>
    <row r="359" spans="1:7" ht="12.75" customHeight="1" x14ac:dyDescent="0.25">
      <c r="A359" s="158" t="s">
        <v>174</v>
      </c>
      <c r="B359" s="202" t="s">
        <v>173</v>
      </c>
      <c r="C359" s="225"/>
      <c r="D359" s="389">
        <f>SUM(D361)</f>
        <v>856.2</v>
      </c>
      <c r="E359" s="389">
        <f>SUM(E361)</f>
        <v>751.5</v>
      </c>
      <c r="F359" s="110"/>
      <c r="G359" s="110"/>
    </row>
    <row r="360" spans="1:7" ht="12.75" customHeight="1" x14ac:dyDescent="0.25">
      <c r="A360" s="168"/>
      <c r="B360" s="160" t="s">
        <v>230</v>
      </c>
      <c r="C360" s="226"/>
      <c r="D360" s="390"/>
      <c r="E360" s="328"/>
      <c r="F360" s="107"/>
      <c r="G360" s="107"/>
    </row>
    <row r="361" spans="1:7" ht="24" x14ac:dyDescent="0.25">
      <c r="A361" s="420" t="s">
        <v>518</v>
      </c>
      <c r="B361" s="224" t="s">
        <v>241</v>
      </c>
      <c r="C361" s="214" t="s">
        <v>519</v>
      </c>
      <c r="D361" s="391">
        <f>SUM(D362:D364)</f>
        <v>856.2</v>
      </c>
      <c r="E361" s="391">
        <f>SUM(E362:E364)</f>
        <v>751.5</v>
      </c>
      <c r="F361" s="112"/>
      <c r="G361" s="112"/>
    </row>
    <row r="362" spans="1:7" x14ac:dyDescent="0.25">
      <c r="A362" s="424" t="s">
        <v>520</v>
      </c>
      <c r="B362" s="197" t="s">
        <v>234</v>
      </c>
      <c r="C362" s="176"/>
      <c r="D362" s="328">
        <v>54.6</v>
      </c>
      <c r="E362" s="328">
        <v>13.4</v>
      </c>
      <c r="F362" s="109"/>
      <c r="G362" s="109"/>
    </row>
    <row r="363" spans="1:7" x14ac:dyDescent="0.25">
      <c r="A363" s="424" t="s">
        <v>871</v>
      </c>
      <c r="B363" s="208" t="s">
        <v>521</v>
      </c>
      <c r="C363" s="176"/>
      <c r="D363" s="328">
        <v>798.6</v>
      </c>
      <c r="E363" s="328">
        <v>738.1</v>
      </c>
      <c r="F363" s="107"/>
      <c r="G363" s="107"/>
    </row>
    <row r="364" spans="1:7" x14ac:dyDescent="0.25">
      <c r="A364" s="425" t="s">
        <v>872</v>
      </c>
      <c r="B364" s="227" t="s">
        <v>240</v>
      </c>
      <c r="C364" s="228"/>
      <c r="D364" s="331">
        <v>3</v>
      </c>
      <c r="E364" s="328"/>
      <c r="F364" s="107"/>
      <c r="G364" s="107"/>
    </row>
    <row r="365" spans="1:7" x14ac:dyDescent="0.25">
      <c r="A365" s="168" t="s">
        <v>522</v>
      </c>
      <c r="B365" s="211" t="s">
        <v>523</v>
      </c>
      <c r="C365" s="169"/>
      <c r="D365" s="393">
        <f>SUM(D367)</f>
        <v>153.5</v>
      </c>
      <c r="E365" s="397">
        <f>SUM(E367)</f>
        <v>142.4</v>
      </c>
      <c r="F365" s="107"/>
      <c r="G365" s="107"/>
    </row>
    <row r="366" spans="1:7" x14ac:dyDescent="0.25">
      <c r="A366" s="184"/>
      <c r="B366" s="176" t="s">
        <v>230</v>
      </c>
      <c r="C366" s="169" t="s">
        <v>394</v>
      </c>
      <c r="D366" s="326"/>
      <c r="E366" s="327"/>
      <c r="F366" s="107"/>
      <c r="G366" s="107"/>
    </row>
    <row r="367" spans="1:7" ht="24" x14ac:dyDescent="0.25">
      <c r="A367" s="166" t="s">
        <v>524</v>
      </c>
      <c r="B367" s="229" t="s">
        <v>241</v>
      </c>
      <c r="C367" s="169"/>
      <c r="D367" s="382">
        <f>SUM(D368)</f>
        <v>153.5</v>
      </c>
      <c r="E367" s="383">
        <f>SUM(E368)</f>
        <v>142.4</v>
      </c>
      <c r="F367" s="107"/>
      <c r="G367" s="107"/>
    </row>
    <row r="368" spans="1:7" x14ac:dyDescent="0.25">
      <c r="A368" s="230" t="s">
        <v>525</v>
      </c>
      <c r="B368" s="227" t="s">
        <v>234</v>
      </c>
      <c r="C368" s="221"/>
      <c r="D368" s="398">
        <v>153.5</v>
      </c>
      <c r="E368" s="386">
        <v>142.4</v>
      </c>
      <c r="F368" s="107"/>
      <c r="G368" s="107"/>
    </row>
    <row r="369" spans="1:8" s="296" customFormat="1" x14ac:dyDescent="0.25">
      <c r="A369" s="231" t="s">
        <v>526</v>
      </c>
      <c r="B369" s="175" t="s">
        <v>175</v>
      </c>
      <c r="C369" s="168"/>
      <c r="D369" s="387">
        <f>D371+D377+D385+D408+D413+D423+D456+D464+D468</f>
        <v>41676.5</v>
      </c>
      <c r="E369" s="452">
        <f>E371+E377+E385+E408+E413+E423+E456+E464+E468</f>
        <v>7686.6999999999989</v>
      </c>
      <c r="F369" s="110"/>
      <c r="G369" s="110"/>
    </row>
    <row r="370" spans="1:8" x14ac:dyDescent="0.25">
      <c r="A370" s="184"/>
      <c r="B370" s="176" t="s">
        <v>230</v>
      </c>
      <c r="C370" s="184"/>
      <c r="D370" s="387"/>
      <c r="E370" s="327"/>
      <c r="F370" s="107"/>
      <c r="G370" s="107"/>
    </row>
    <row r="371" spans="1:8" x14ac:dyDescent="0.25">
      <c r="A371" s="184" t="s">
        <v>527</v>
      </c>
      <c r="B371" s="416" t="s">
        <v>231</v>
      </c>
      <c r="C371" s="169" t="s">
        <v>232</v>
      </c>
      <c r="D371" s="388">
        <f>SUM(D372:D376)</f>
        <v>4942.2000000000007</v>
      </c>
      <c r="E371" s="388">
        <f>SUM(E372:E376)</f>
        <v>12.7</v>
      </c>
      <c r="F371" s="107"/>
      <c r="G371" s="107"/>
    </row>
    <row r="372" spans="1:8" x14ac:dyDescent="0.25">
      <c r="A372" s="184" t="s">
        <v>528</v>
      </c>
      <c r="B372" s="197" t="s">
        <v>234</v>
      </c>
      <c r="C372" s="169"/>
      <c r="D372" s="414">
        <v>2525.9</v>
      </c>
      <c r="E372" s="327">
        <v>1.6</v>
      </c>
      <c r="F372" s="107"/>
    </row>
    <row r="373" spans="1:8" ht="12.6" customHeight="1" x14ac:dyDescent="0.25">
      <c r="A373" s="166" t="s">
        <v>529</v>
      </c>
      <c r="B373" s="165" t="s">
        <v>236</v>
      </c>
      <c r="C373" s="204"/>
      <c r="D373" s="414">
        <v>579.20000000000005</v>
      </c>
      <c r="E373" s="415"/>
      <c r="F373" s="107"/>
      <c r="G373" s="107"/>
      <c r="H373" s="413"/>
    </row>
    <row r="374" spans="1:8" ht="23.25" customHeight="1" x14ac:dyDescent="0.25">
      <c r="A374" s="420" t="s">
        <v>530</v>
      </c>
      <c r="B374" s="421" t="s">
        <v>859</v>
      </c>
      <c r="C374" s="204"/>
      <c r="D374" s="422">
        <v>269.89999999999998</v>
      </c>
      <c r="E374" s="417">
        <v>8</v>
      </c>
      <c r="F374" s="107"/>
      <c r="G374" s="107"/>
      <c r="H374" s="413"/>
    </row>
    <row r="375" spans="1:8" ht="35.25" customHeight="1" x14ac:dyDescent="0.25">
      <c r="A375" s="166" t="s">
        <v>531</v>
      </c>
      <c r="B375" s="165" t="s">
        <v>532</v>
      </c>
      <c r="C375" s="204"/>
      <c r="D375" s="418">
        <v>792.2</v>
      </c>
      <c r="E375" s="417">
        <v>3.1</v>
      </c>
      <c r="F375" s="107"/>
      <c r="G375" s="107"/>
      <c r="H375" s="413"/>
    </row>
    <row r="376" spans="1:8" ht="22.5" customHeight="1" x14ac:dyDescent="0.25">
      <c r="A376" s="420" t="s">
        <v>886</v>
      </c>
      <c r="B376" s="419" t="s">
        <v>56</v>
      </c>
      <c r="C376" s="204"/>
      <c r="D376" s="418">
        <v>775</v>
      </c>
      <c r="E376" s="417"/>
      <c r="F376" s="107"/>
      <c r="G376" s="107"/>
      <c r="H376" s="413"/>
    </row>
    <row r="377" spans="1:8" x14ac:dyDescent="0.25">
      <c r="A377" s="166" t="s">
        <v>533</v>
      </c>
      <c r="B377" s="232" t="s">
        <v>409</v>
      </c>
      <c r="C377" s="169" t="s">
        <v>410</v>
      </c>
      <c r="D377" s="388">
        <f>SUM(D378+D383+D384)</f>
        <v>1829.9</v>
      </c>
      <c r="E377" s="388">
        <f>SUM(E378+E383+E384)</f>
        <v>0</v>
      </c>
      <c r="F377" s="111"/>
      <c r="G377" s="111"/>
      <c r="H377" s="107"/>
    </row>
    <row r="378" spans="1:8" x14ac:dyDescent="0.25">
      <c r="A378" s="184" t="s">
        <v>534</v>
      </c>
      <c r="B378" s="213" t="s">
        <v>234</v>
      </c>
      <c r="C378" s="169"/>
      <c r="D378" s="326">
        <v>1127.4000000000001</v>
      </c>
      <c r="E378" s="327"/>
      <c r="F378" s="107"/>
      <c r="G378" s="107"/>
    </row>
    <row r="379" spans="1:8" ht="12.75" customHeight="1" x14ac:dyDescent="0.25">
      <c r="A379" s="184"/>
      <c r="B379" s="176" t="s">
        <v>230</v>
      </c>
      <c r="C379" s="169"/>
      <c r="D379" s="326"/>
      <c r="E379" s="327"/>
      <c r="F379" s="107"/>
      <c r="G379" s="107"/>
    </row>
    <row r="380" spans="1:8" ht="12.75" customHeight="1" x14ac:dyDescent="0.25">
      <c r="A380" s="424" t="s">
        <v>535</v>
      </c>
      <c r="B380" s="435" t="s">
        <v>551</v>
      </c>
      <c r="C380" s="169"/>
      <c r="D380" s="326">
        <v>62</v>
      </c>
      <c r="E380" s="327"/>
      <c r="F380" s="107"/>
      <c r="G380" s="107"/>
    </row>
    <row r="381" spans="1:8" ht="12.75" customHeight="1" x14ac:dyDescent="0.25">
      <c r="A381" s="424" t="s">
        <v>873</v>
      </c>
      <c r="B381" s="453" t="s">
        <v>559</v>
      </c>
      <c r="C381" s="169"/>
      <c r="D381" s="326">
        <v>25</v>
      </c>
      <c r="E381" s="327"/>
      <c r="F381" s="107"/>
      <c r="G381" s="107"/>
    </row>
    <row r="382" spans="1:8" ht="12.75" customHeight="1" x14ac:dyDescent="0.25">
      <c r="A382" s="424" t="s">
        <v>874</v>
      </c>
      <c r="B382" s="423" t="s">
        <v>566</v>
      </c>
      <c r="C382" s="169"/>
      <c r="D382" s="326">
        <v>12</v>
      </c>
      <c r="E382" s="327"/>
      <c r="F382" s="112"/>
      <c r="G382" s="112"/>
    </row>
    <row r="383" spans="1:8" ht="12.75" customHeight="1" x14ac:dyDescent="0.25">
      <c r="A383" s="184" t="s">
        <v>537</v>
      </c>
      <c r="B383" s="208" t="s">
        <v>521</v>
      </c>
      <c r="C383" s="169"/>
      <c r="D383" s="326">
        <v>455</v>
      </c>
      <c r="E383" s="327"/>
      <c r="F383" s="112"/>
    </row>
    <row r="384" spans="1:8" ht="33.6" customHeight="1" x14ac:dyDescent="0.25">
      <c r="A384" s="166" t="s">
        <v>538</v>
      </c>
      <c r="B384" s="207" t="s">
        <v>532</v>
      </c>
      <c r="C384" s="169"/>
      <c r="D384" s="326">
        <v>247.5</v>
      </c>
      <c r="E384" s="327"/>
      <c r="F384" s="107"/>
      <c r="G384" s="107"/>
    </row>
    <row r="385" spans="1:12" ht="12.75" customHeight="1" x14ac:dyDescent="0.25">
      <c r="A385" s="184" t="s">
        <v>539</v>
      </c>
      <c r="B385" s="223" t="s">
        <v>540</v>
      </c>
      <c r="C385" s="475" t="s">
        <v>541</v>
      </c>
      <c r="D385" s="382">
        <f>D387+D388+D401+D404+D405+D406+D407</f>
        <v>6652.7000000000007</v>
      </c>
      <c r="E385" s="391">
        <f>E387+E388+E401+E404+E405+E406+E407</f>
        <v>863.7</v>
      </c>
      <c r="F385" s="109"/>
      <c r="G385" s="109"/>
    </row>
    <row r="386" spans="1:12" ht="12.75" customHeight="1" x14ac:dyDescent="0.25">
      <c r="A386" s="184"/>
      <c r="B386" s="176" t="s">
        <v>542</v>
      </c>
      <c r="C386" s="233"/>
      <c r="D386" s="329"/>
      <c r="E386" s="327"/>
      <c r="F386" s="107"/>
      <c r="G386" s="107"/>
    </row>
    <row r="387" spans="1:12" ht="12.75" customHeight="1" x14ac:dyDescent="0.25">
      <c r="A387" s="166" t="s">
        <v>543</v>
      </c>
      <c r="B387" s="193" t="s">
        <v>544</v>
      </c>
      <c r="C387" s="233"/>
      <c r="D387" s="329">
        <v>280</v>
      </c>
      <c r="E387" s="327"/>
      <c r="F387" s="109"/>
      <c r="G387" s="109"/>
    </row>
    <row r="388" spans="1:12" ht="12" customHeight="1" x14ac:dyDescent="0.25">
      <c r="A388" s="184" t="s">
        <v>545</v>
      </c>
      <c r="B388" s="213" t="s">
        <v>458</v>
      </c>
      <c r="C388" s="233"/>
      <c r="D388" s="329">
        <f>14.4+485.4+42.9+25.6+4.1+50+50+85+250+9+32.1+10+10+20+713.1+292+1492.2</f>
        <v>3585.8</v>
      </c>
      <c r="E388" s="327">
        <v>863.7</v>
      </c>
      <c r="F388" s="112"/>
      <c r="G388" s="112"/>
      <c r="H388" s="295"/>
      <c r="I388" s="295"/>
      <c r="J388" s="295"/>
    </row>
    <row r="389" spans="1:12" ht="12" customHeight="1" x14ac:dyDescent="0.25">
      <c r="A389" s="184"/>
      <c r="B389" s="176" t="s">
        <v>230</v>
      </c>
      <c r="C389" s="233"/>
      <c r="D389" s="329"/>
      <c r="E389" s="327"/>
      <c r="F389" s="112"/>
      <c r="G389" s="112"/>
      <c r="H389" s="295"/>
      <c r="I389" s="295"/>
    </row>
    <row r="390" spans="1:12" ht="12" customHeight="1" x14ac:dyDescent="0.25">
      <c r="A390" s="184" t="s">
        <v>546</v>
      </c>
      <c r="B390" s="176" t="s">
        <v>547</v>
      </c>
      <c r="C390" s="233"/>
      <c r="D390" s="329">
        <v>48.5</v>
      </c>
      <c r="E390" s="327">
        <v>26.7</v>
      </c>
      <c r="F390" s="112"/>
      <c r="G390" s="112"/>
      <c r="H390" s="112"/>
      <c r="J390" s="297"/>
      <c r="K390" s="297"/>
      <c r="L390" s="297"/>
    </row>
    <row r="391" spans="1:12" ht="12" customHeight="1" x14ac:dyDescent="0.25">
      <c r="A391" s="184" t="s">
        <v>548</v>
      </c>
      <c r="B391" s="176" t="s">
        <v>549</v>
      </c>
      <c r="C391" s="233"/>
      <c r="D391" s="329">
        <v>80.599999999999994</v>
      </c>
      <c r="E391" s="327">
        <v>40.700000000000003</v>
      </c>
      <c r="F391" s="107"/>
      <c r="G391" s="107"/>
    </row>
    <row r="392" spans="1:12" ht="12" customHeight="1" x14ac:dyDescent="0.25">
      <c r="A392" s="184" t="s">
        <v>550</v>
      </c>
      <c r="B392" s="176" t="s">
        <v>551</v>
      </c>
      <c r="C392" s="233"/>
      <c r="D392" s="329">
        <v>95.5</v>
      </c>
      <c r="E392" s="327">
        <v>58.8</v>
      </c>
      <c r="F392" s="107"/>
      <c r="G392" s="112"/>
      <c r="H392" s="112"/>
      <c r="I392" s="112"/>
      <c r="J392" s="112"/>
    </row>
    <row r="393" spans="1:12" ht="12" customHeight="1" x14ac:dyDescent="0.25">
      <c r="A393" s="184" t="s">
        <v>552</v>
      </c>
      <c r="B393" s="176" t="s">
        <v>553</v>
      </c>
      <c r="C393" s="233"/>
      <c r="D393" s="329">
        <v>80.5</v>
      </c>
      <c r="E393" s="327">
        <v>31.6</v>
      </c>
      <c r="F393" s="107"/>
      <c r="G393" s="107"/>
    </row>
    <row r="394" spans="1:12" ht="12" customHeight="1" x14ac:dyDescent="0.25">
      <c r="A394" s="184" t="s">
        <v>554</v>
      </c>
      <c r="B394" s="176" t="s">
        <v>555</v>
      </c>
      <c r="C394" s="233"/>
      <c r="D394" s="329">
        <v>534.70000000000005</v>
      </c>
      <c r="E394" s="327">
        <v>344</v>
      </c>
      <c r="F394" s="107"/>
      <c r="G394" s="107"/>
    </row>
    <row r="395" spans="1:12" ht="12" customHeight="1" x14ac:dyDescent="0.25">
      <c r="A395" s="184" t="s">
        <v>556</v>
      </c>
      <c r="B395" s="176" t="s">
        <v>557</v>
      </c>
      <c r="C395" s="233"/>
      <c r="D395" s="329">
        <v>46.2</v>
      </c>
      <c r="E395" s="327">
        <v>33.6</v>
      </c>
      <c r="F395" s="107"/>
      <c r="G395" s="107"/>
    </row>
    <row r="396" spans="1:12" ht="12" customHeight="1" x14ac:dyDescent="0.25">
      <c r="A396" s="184" t="s">
        <v>558</v>
      </c>
      <c r="B396" s="176" t="s">
        <v>559</v>
      </c>
      <c r="C396" s="233"/>
      <c r="D396" s="329">
        <v>123.4</v>
      </c>
      <c r="E396" s="327">
        <v>79</v>
      </c>
      <c r="F396" s="109"/>
      <c r="G396" s="109"/>
    </row>
    <row r="397" spans="1:12" ht="12" customHeight="1" x14ac:dyDescent="0.25">
      <c r="A397" s="184" t="s">
        <v>560</v>
      </c>
      <c r="B397" s="176" t="s">
        <v>536</v>
      </c>
      <c r="C397" s="233"/>
      <c r="D397" s="329">
        <v>217.3</v>
      </c>
      <c r="E397" s="327">
        <v>134.4</v>
      </c>
      <c r="F397" s="107"/>
      <c r="G397" s="107"/>
    </row>
    <row r="398" spans="1:12" ht="12" customHeight="1" x14ac:dyDescent="0.25">
      <c r="A398" s="184" t="s">
        <v>561</v>
      </c>
      <c r="B398" s="176" t="s">
        <v>562</v>
      </c>
      <c r="C398" s="233"/>
      <c r="D398" s="329">
        <v>74.2</v>
      </c>
      <c r="E398" s="327">
        <v>27.2</v>
      </c>
      <c r="F398" s="107"/>
      <c r="G398" s="107"/>
    </row>
    <row r="399" spans="1:12" ht="12" customHeight="1" x14ac:dyDescent="0.25">
      <c r="A399" s="184" t="s">
        <v>563</v>
      </c>
      <c r="B399" s="176" t="s">
        <v>564</v>
      </c>
      <c r="C399" s="233"/>
      <c r="D399" s="329">
        <v>107</v>
      </c>
      <c r="E399" s="327">
        <v>51.1</v>
      </c>
      <c r="F399" s="107"/>
      <c r="G399" s="107"/>
    </row>
    <row r="400" spans="1:12" ht="12" customHeight="1" x14ac:dyDescent="0.25">
      <c r="A400" s="184" t="s">
        <v>565</v>
      </c>
      <c r="B400" s="176" t="s">
        <v>566</v>
      </c>
      <c r="C400" s="233"/>
      <c r="D400" s="329">
        <v>84.3</v>
      </c>
      <c r="E400" s="327">
        <v>31.5</v>
      </c>
      <c r="F400" s="113"/>
      <c r="G400" s="112"/>
      <c r="H400" s="112"/>
      <c r="I400" s="112"/>
      <c r="J400" s="112"/>
    </row>
    <row r="401" spans="1:7" ht="12" customHeight="1" x14ac:dyDescent="0.25">
      <c r="A401" s="184" t="s">
        <v>567</v>
      </c>
      <c r="B401" s="213" t="s">
        <v>240</v>
      </c>
      <c r="C401" s="233"/>
      <c r="D401" s="329">
        <v>10</v>
      </c>
      <c r="E401" s="327"/>
      <c r="F401" s="107"/>
      <c r="G401" s="107"/>
    </row>
    <row r="402" spans="1:7" ht="12" customHeight="1" x14ac:dyDescent="0.25">
      <c r="A402" s="184"/>
      <c r="B402" s="176" t="s">
        <v>230</v>
      </c>
      <c r="C402" s="233"/>
      <c r="D402" s="329"/>
      <c r="E402" s="327"/>
      <c r="F402" s="107"/>
      <c r="G402" s="107"/>
    </row>
    <row r="403" spans="1:7" ht="12" customHeight="1" x14ac:dyDescent="0.25">
      <c r="A403" s="184" t="s">
        <v>568</v>
      </c>
      <c r="B403" s="176" t="s">
        <v>536</v>
      </c>
      <c r="C403" s="233"/>
      <c r="D403" s="329">
        <v>10</v>
      </c>
      <c r="E403" s="327"/>
      <c r="F403" s="107"/>
      <c r="G403" s="107"/>
    </row>
    <row r="404" spans="1:7" ht="24" customHeight="1" x14ac:dyDescent="0.25">
      <c r="A404" s="420" t="s">
        <v>569</v>
      </c>
      <c r="B404" s="207" t="s">
        <v>473</v>
      </c>
      <c r="C404" s="233"/>
      <c r="D404" s="329">
        <v>215.9</v>
      </c>
      <c r="E404" s="327"/>
      <c r="F404" s="107"/>
      <c r="G404" s="107"/>
    </row>
    <row r="405" spans="1:7" ht="24.75" customHeight="1" x14ac:dyDescent="0.25">
      <c r="A405" s="166" t="s">
        <v>570</v>
      </c>
      <c r="B405" s="436" t="s">
        <v>571</v>
      </c>
      <c r="C405" s="402"/>
      <c r="D405" s="329">
        <v>2500</v>
      </c>
      <c r="E405" s="327"/>
      <c r="F405" s="107"/>
      <c r="G405" s="107"/>
    </row>
    <row r="406" spans="1:7" ht="35.4" customHeight="1" x14ac:dyDescent="0.25">
      <c r="A406" s="420" t="s">
        <v>572</v>
      </c>
      <c r="B406" s="165" t="s">
        <v>716</v>
      </c>
      <c r="C406" s="426"/>
      <c r="D406" s="329">
        <v>13.9</v>
      </c>
      <c r="E406" s="327"/>
      <c r="F406" s="107"/>
      <c r="G406" s="107"/>
    </row>
    <row r="407" spans="1:7" ht="13.2" customHeight="1" x14ac:dyDescent="0.25">
      <c r="A407" s="420" t="s">
        <v>861</v>
      </c>
      <c r="B407" s="427" t="s">
        <v>860</v>
      </c>
      <c r="C407" s="426"/>
      <c r="D407" s="329">
        <v>47.1</v>
      </c>
      <c r="E407" s="327"/>
      <c r="F407" s="107"/>
      <c r="G407" s="107"/>
    </row>
    <row r="408" spans="1:7" ht="13.2" customHeight="1" x14ac:dyDescent="0.25">
      <c r="A408" s="184" t="s">
        <v>574</v>
      </c>
      <c r="B408" s="234" t="s">
        <v>390</v>
      </c>
      <c r="C408" s="235" t="s">
        <v>420</v>
      </c>
      <c r="D408" s="391">
        <f>SUM(D409:D412)</f>
        <v>327.3</v>
      </c>
      <c r="E408" s="391">
        <f>SUM(E409:E412)</f>
        <v>41.2</v>
      </c>
      <c r="F408" s="107"/>
      <c r="G408" s="107"/>
    </row>
    <row r="409" spans="1:7" ht="12.75" customHeight="1" x14ac:dyDescent="0.25">
      <c r="A409" s="184" t="s">
        <v>575</v>
      </c>
      <c r="B409" s="213" t="s">
        <v>576</v>
      </c>
      <c r="C409" s="235"/>
      <c r="D409" s="329">
        <f>16.6+10+31.7+50</f>
        <v>108.3</v>
      </c>
      <c r="E409" s="327">
        <v>16.3</v>
      </c>
      <c r="F409" s="107"/>
      <c r="G409" s="107"/>
    </row>
    <row r="410" spans="1:7" ht="15" customHeight="1" x14ac:dyDescent="0.25">
      <c r="A410" s="166" t="s">
        <v>577</v>
      </c>
      <c r="B410" s="193" t="s">
        <v>544</v>
      </c>
      <c r="C410" s="235"/>
      <c r="D410" s="329">
        <v>36.299999999999997</v>
      </c>
      <c r="E410" s="327"/>
      <c r="F410" s="107"/>
      <c r="G410" s="107"/>
    </row>
    <row r="411" spans="1:7" ht="37.5" customHeight="1" x14ac:dyDescent="0.25">
      <c r="A411" s="166" t="s">
        <v>578</v>
      </c>
      <c r="B411" s="436" t="s">
        <v>870</v>
      </c>
      <c r="C411" s="235"/>
      <c r="D411" s="329">
        <v>58.7</v>
      </c>
      <c r="E411" s="328">
        <v>24.9</v>
      </c>
      <c r="F411" s="107"/>
      <c r="G411" s="107"/>
    </row>
    <row r="412" spans="1:7" ht="37.5" customHeight="1" x14ac:dyDescent="0.25">
      <c r="A412" s="420" t="s">
        <v>877</v>
      </c>
      <c r="B412" s="436" t="s">
        <v>876</v>
      </c>
      <c r="C412" s="235"/>
      <c r="D412" s="329">
        <v>124</v>
      </c>
      <c r="E412" s="328"/>
      <c r="F412" s="107"/>
      <c r="G412" s="107"/>
    </row>
    <row r="413" spans="1:7" ht="13.5" customHeight="1" x14ac:dyDescent="0.25">
      <c r="A413" s="166" t="s">
        <v>579</v>
      </c>
      <c r="B413" s="200" t="s">
        <v>312</v>
      </c>
      <c r="C413" s="236"/>
      <c r="D413" s="382">
        <f>SUM(D415:D422)</f>
        <v>5919.5000000000009</v>
      </c>
      <c r="E413" s="391">
        <f>SUM(E415:E422)</f>
        <v>119.3</v>
      </c>
      <c r="F413" s="114"/>
      <c r="G413" s="114"/>
    </row>
    <row r="414" spans="1:7" ht="12.75" customHeight="1" x14ac:dyDescent="0.25">
      <c r="A414" s="184"/>
      <c r="B414" s="176" t="s">
        <v>542</v>
      </c>
      <c r="C414" s="236"/>
      <c r="D414" s="382"/>
      <c r="E414" s="327"/>
      <c r="F414" s="107"/>
      <c r="G414" s="107"/>
    </row>
    <row r="415" spans="1:7" ht="11.25" customHeight="1" x14ac:dyDescent="0.25">
      <c r="A415" s="424" t="s">
        <v>580</v>
      </c>
      <c r="B415" s="213" t="s">
        <v>458</v>
      </c>
      <c r="C415" s="237" t="s">
        <v>461</v>
      </c>
      <c r="D415" s="326">
        <f>143.6+100+100</f>
        <v>343.6</v>
      </c>
      <c r="E415" s="327"/>
      <c r="F415" s="107"/>
      <c r="G415" s="107"/>
    </row>
    <row r="416" spans="1:7" ht="11.25" customHeight="1" x14ac:dyDescent="0.25">
      <c r="A416" s="424" t="s">
        <v>581</v>
      </c>
      <c r="B416" s="213" t="s">
        <v>458</v>
      </c>
      <c r="C416" s="237" t="s">
        <v>112</v>
      </c>
      <c r="D416" s="326">
        <f>120+1473.4+215+7+20+70+30+35+626+60+25+2+60+20+150+103.3+41.3+23.4</f>
        <v>3081.4000000000005</v>
      </c>
      <c r="E416" s="327">
        <v>28.1</v>
      </c>
      <c r="F416" s="107"/>
      <c r="G416" s="107"/>
    </row>
    <row r="417" spans="1:11" ht="12" customHeight="1" x14ac:dyDescent="0.25">
      <c r="A417" s="420" t="s">
        <v>582</v>
      </c>
      <c r="B417" s="213" t="s">
        <v>423</v>
      </c>
      <c r="C417" s="236"/>
      <c r="D417" s="326">
        <v>1992.7</v>
      </c>
      <c r="E417" s="327">
        <v>58</v>
      </c>
      <c r="F417" s="107"/>
      <c r="G417" s="107"/>
    </row>
    <row r="418" spans="1:11" ht="12.75" customHeight="1" x14ac:dyDescent="0.25">
      <c r="A418" s="424" t="s">
        <v>583</v>
      </c>
      <c r="B418" s="213" t="s">
        <v>240</v>
      </c>
      <c r="C418" s="236"/>
      <c r="D418" s="326">
        <v>26</v>
      </c>
      <c r="E418" s="327"/>
      <c r="F418" s="107"/>
      <c r="G418" s="107"/>
    </row>
    <row r="419" spans="1:11" ht="22.95" customHeight="1" x14ac:dyDescent="0.25">
      <c r="A419" s="424" t="s">
        <v>584</v>
      </c>
      <c r="B419" s="207" t="s">
        <v>473</v>
      </c>
      <c r="C419" s="236"/>
      <c r="D419" s="326">
        <v>273.8</v>
      </c>
      <c r="E419" s="327">
        <v>2.9</v>
      </c>
      <c r="F419" s="107"/>
      <c r="G419" s="107"/>
    </row>
    <row r="420" spans="1:11" ht="36" customHeight="1" x14ac:dyDescent="0.25">
      <c r="A420" s="420" t="s">
        <v>585</v>
      </c>
      <c r="B420" s="421" t="s">
        <v>862</v>
      </c>
      <c r="C420" s="236"/>
      <c r="D420" s="326">
        <v>125.3</v>
      </c>
      <c r="E420" s="327"/>
      <c r="F420" s="107"/>
      <c r="G420" s="107"/>
    </row>
    <row r="421" spans="1:11" ht="24" customHeight="1" x14ac:dyDescent="0.25">
      <c r="A421" s="420" t="s">
        <v>586</v>
      </c>
      <c r="B421" s="431" t="s">
        <v>44</v>
      </c>
      <c r="C421" s="238"/>
      <c r="D421" s="326">
        <v>33.700000000000003</v>
      </c>
      <c r="E421" s="327">
        <v>29.5</v>
      </c>
      <c r="F421" s="107"/>
      <c r="G421" s="107"/>
    </row>
    <row r="422" spans="1:11" ht="26.4" customHeight="1" x14ac:dyDescent="0.25">
      <c r="A422" s="429" t="s">
        <v>587</v>
      </c>
      <c r="B422" s="421" t="s">
        <v>588</v>
      </c>
      <c r="C422" s="430" t="s">
        <v>461</v>
      </c>
      <c r="D422" s="326">
        <v>43</v>
      </c>
      <c r="E422" s="327">
        <v>0.8</v>
      </c>
      <c r="F422" s="107"/>
      <c r="G422" s="107"/>
    </row>
    <row r="423" spans="1:11" ht="24" customHeight="1" x14ac:dyDescent="0.25">
      <c r="A423" s="166" t="s">
        <v>589</v>
      </c>
      <c r="B423" s="200" t="s">
        <v>590</v>
      </c>
      <c r="C423" s="236"/>
      <c r="D423" s="382">
        <f>D425+D438+D451+D452+D453+D454+D455</f>
        <v>8282.5999999999985</v>
      </c>
      <c r="E423" s="391">
        <f>E425+E438+E451+E452+E453+E454+E455</f>
        <v>9.2999999999999989</v>
      </c>
      <c r="F423" s="114"/>
      <c r="G423" s="114"/>
    </row>
    <row r="424" spans="1:11" ht="13.2" customHeight="1" x14ac:dyDescent="0.25">
      <c r="A424" s="184"/>
      <c r="B424" s="176" t="s">
        <v>542</v>
      </c>
      <c r="C424" s="236"/>
      <c r="D424" s="382"/>
      <c r="E424" s="327"/>
      <c r="F424" s="107"/>
      <c r="G424" s="107"/>
    </row>
    <row r="425" spans="1:11" ht="12.75" customHeight="1" x14ac:dyDescent="0.25">
      <c r="A425" s="184" t="s">
        <v>591</v>
      </c>
      <c r="B425" s="213" t="s">
        <v>458</v>
      </c>
      <c r="C425" s="237" t="s">
        <v>410</v>
      </c>
      <c r="D425" s="326">
        <f>30+50+5+30+50+100+122.7+50+3+50+100+40+7+150+173.2+200+50+60+215+24+64+10+10+18+50+3+100+403.9</f>
        <v>2168.8000000000002</v>
      </c>
      <c r="E425" s="327"/>
      <c r="F425" s="107"/>
      <c r="G425" s="107"/>
      <c r="I425" s="295"/>
    </row>
    <row r="426" spans="1:11" ht="12.75" customHeight="1" x14ac:dyDescent="0.25">
      <c r="A426" s="184"/>
      <c r="B426" s="176" t="s">
        <v>230</v>
      </c>
      <c r="C426" s="237"/>
      <c r="D426" s="326"/>
      <c r="E426" s="327"/>
      <c r="F426" s="107"/>
      <c r="G426" s="107"/>
      <c r="I426" s="295"/>
    </row>
    <row r="427" spans="1:11" ht="12.75" customHeight="1" x14ac:dyDescent="0.25">
      <c r="A427" s="184" t="s">
        <v>592</v>
      </c>
      <c r="B427" s="176" t="s">
        <v>547</v>
      </c>
      <c r="C427" s="237"/>
      <c r="D427" s="326">
        <v>12.4</v>
      </c>
      <c r="E427" s="327"/>
      <c r="F427" s="107"/>
      <c r="G427" s="107"/>
      <c r="I427" s="295"/>
    </row>
    <row r="428" spans="1:11" ht="12.75" customHeight="1" x14ac:dyDescent="0.25">
      <c r="A428" s="184" t="s">
        <v>593</v>
      </c>
      <c r="B428" s="176" t="s">
        <v>549</v>
      </c>
      <c r="C428" s="237"/>
      <c r="D428" s="326">
        <v>25.1</v>
      </c>
      <c r="E428" s="327"/>
      <c r="F428" s="107"/>
      <c r="G428" s="107"/>
      <c r="I428" s="295"/>
    </row>
    <row r="429" spans="1:11" ht="12.75" customHeight="1" x14ac:dyDescent="0.25">
      <c r="A429" s="184" t="s">
        <v>594</v>
      </c>
      <c r="B429" s="176" t="s">
        <v>551</v>
      </c>
      <c r="C429" s="237"/>
      <c r="D429" s="326">
        <v>38.700000000000003</v>
      </c>
      <c r="E429" s="327"/>
      <c r="F429" s="107"/>
      <c r="G429" s="107"/>
      <c r="I429" s="295"/>
    </row>
    <row r="430" spans="1:11" ht="12.75" customHeight="1" x14ac:dyDescent="0.25">
      <c r="A430" s="184" t="s">
        <v>595</v>
      </c>
      <c r="B430" s="176" t="s">
        <v>553</v>
      </c>
      <c r="C430" s="237"/>
      <c r="D430" s="326">
        <v>17.5</v>
      </c>
      <c r="E430" s="327"/>
      <c r="F430" s="107"/>
      <c r="G430" s="107"/>
      <c r="I430" s="295"/>
    </row>
    <row r="431" spans="1:11" ht="12.75" customHeight="1" x14ac:dyDescent="0.25">
      <c r="A431" s="184" t="s">
        <v>596</v>
      </c>
      <c r="B431" s="176" t="s">
        <v>555</v>
      </c>
      <c r="C431" s="237"/>
      <c r="D431" s="326">
        <v>77.2</v>
      </c>
      <c r="E431" s="327"/>
      <c r="F431" s="107"/>
      <c r="G431" s="107"/>
      <c r="H431" s="295"/>
      <c r="I431" s="295"/>
      <c r="J431" s="295"/>
      <c r="K431" s="295"/>
    </row>
    <row r="432" spans="1:11" ht="12.75" customHeight="1" x14ac:dyDescent="0.25">
      <c r="A432" s="184" t="s">
        <v>597</v>
      </c>
      <c r="B432" s="176" t="s">
        <v>557</v>
      </c>
      <c r="C432" s="237"/>
      <c r="D432" s="326">
        <v>8.9</v>
      </c>
      <c r="E432" s="327"/>
      <c r="F432" s="107"/>
      <c r="G432" s="107"/>
      <c r="I432" s="295"/>
    </row>
    <row r="433" spans="1:11" ht="12.75" customHeight="1" x14ac:dyDescent="0.25">
      <c r="A433" s="184" t="s">
        <v>598</v>
      </c>
      <c r="B433" s="176" t="s">
        <v>559</v>
      </c>
      <c r="C433" s="237"/>
      <c r="D433" s="326">
        <v>42.8</v>
      </c>
      <c r="E433" s="327"/>
      <c r="F433" s="107"/>
      <c r="G433" s="107"/>
      <c r="I433" s="295"/>
    </row>
    <row r="434" spans="1:11" ht="12.75" customHeight="1" x14ac:dyDescent="0.25">
      <c r="A434" s="184" t="s">
        <v>599</v>
      </c>
      <c r="B434" s="176" t="s">
        <v>536</v>
      </c>
      <c r="C434" s="237"/>
      <c r="D434" s="326">
        <v>53.6</v>
      </c>
      <c r="E434" s="327"/>
      <c r="F434" s="107"/>
      <c r="G434" s="109"/>
      <c r="I434" s="295"/>
    </row>
    <row r="435" spans="1:11" ht="12.75" customHeight="1" x14ac:dyDescent="0.25">
      <c r="A435" s="184" t="s">
        <v>600</v>
      </c>
      <c r="B435" s="176" t="s">
        <v>562</v>
      </c>
      <c r="C435" s="237"/>
      <c r="D435" s="326">
        <v>57.1</v>
      </c>
      <c r="E435" s="327"/>
      <c r="F435" s="107"/>
      <c r="G435" s="107"/>
      <c r="I435" s="295"/>
    </row>
    <row r="436" spans="1:11" ht="12.75" customHeight="1" x14ac:dyDescent="0.25">
      <c r="A436" s="184" t="s">
        <v>601</v>
      </c>
      <c r="B436" s="176" t="s">
        <v>564</v>
      </c>
      <c r="C436" s="237"/>
      <c r="D436" s="326">
        <v>30.6</v>
      </c>
      <c r="E436" s="327"/>
      <c r="F436" s="107"/>
      <c r="G436" s="107"/>
      <c r="I436" s="295"/>
    </row>
    <row r="437" spans="1:11" ht="12.75" customHeight="1" x14ac:dyDescent="0.25">
      <c r="A437" s="184" t="s">
        <v>602</v>
      </c>
      <c r="B437" s="176" t="s">
        <v>566</v>
      </c>
      <c r="C437" s="237"/>
      <c r="D437" s="326">
        <v>40</v>
      </c>
      <c r="E437" s="327"/>
      <c r="F437" s="107"/>
      <c r="G437" s="112"/>
      <c r="H437" s="112"/>
      <c r="I437" s="295"/>
    </row>
    <row r="438" spans="1:11" ht="12.75" customHeight="1" x14ac:dyDescent="0.25">
      <c r="A438" s="184" t="s">
        <v>603</v>
      </c>
      <c r="B438" s="213" t="s">
        <v>458</v>
      </c>
      <c r="C438" s="237" t="s">
        <v>604</v>
      </c>
      <c r="D438" s="326">
        <f>20+100+100+262+50+50+146.8+500.1+72+5</f>
        <v>1305.9000000000001</v>
      </c>
      <c r="E438" s="327">
        <v>8.1</v>
      </c>
      <c r="F438" s="107"/>
      <c r="G438" s="107"/>
    </row>
    <row r="439" spans="1:11" ht="12.75" customHeight="1" x14ac:dyDescent="0.25">
      <c r="A439" s="184"/>
      <c r="B439" s="176" t="s">
        <v>230</v>
      </c>
      <c r="C439" s="237"/>
      <c r="D439" s="326"/>
      <c r="E439" s="327"/>
      <c r="F439" s="112"/>
      <c r="G439" s="112"/>
      <c r="H439" s="295"/>
      <c r="I439" s="295"/>
      <c r="J439" s="295"/>
    </row>
    <row r="440" spans="1:11" ht="12.75" customHeight="1" x14ac:dyDescent="0.25">
      <c r="A440" s="184" t="s">
        <v>605</v>
      </c>
      <c r="B440" s="176" t="s">
        <v>547</v>
      </c>
      <c r="C440" s="237"/>
      <c r="D440" s="326">
        <f>12.8+1+1</f>
        <v>14.8</v>
      </c>
      <c r="E440" s="327"/>
      <c r="F440" s="112"/>
      <c r="G440" s="112"/>
      <c r="H440" s="295"/>
      <c r="I440" s="295"/>
    </row>
    <row r="441" spans="1:11" ht="12.75" customHeight="1" x14ac:dyDescent="0.25">
      <c r="A441" s="184" t="s">
        <v>606</v>
      </c>
      <c r="B441" s="176" t="s">
        <v>549</v>
      </c>
      <c r="C441" s="237"/>
      <c r="D441" s="326">
        <v>25.5</v>
      </c>
      <c r="E441" s="327"/>
      <c r="F441" s="107"/>
      <c r="G441" s="107"/>
    </row>
    <row r="442" spans="1:11" ht="12.75" customHeight="1" x14ac:dyDescent="0.25">
      <c r="A442" s="184" t="s">
        <v>607</v>
      </c>
      <c r="B442" s="176" t="s">
        <v>551</v>
      </c>
      <c r="C442" s="237"/>
      <c r="D442" s="326">
        <v>47.6</v>
      </c>
      <c r="E442" s="327"/>
      <c r="F442" s="107"/>
      <c r="G442" s="107"/>
    </row>
    <row r="443" spans="1:11" ht="12.75" customHeight="1" x14ac:dyDescent="0.25">
      <c r="A443" s="184" t="s">
        <v>608</v>
      </c>
      <c r="B443" s="176" t="s">
        <v>553</v>
      </c>
      <c r="C443" s="237"/>
      <c r="D443" s="326">
        <f>20.1+10</f>
        <v>30.1</v>
      </c>
      <c r="E443" s="327"/>
      <c r="F443" s="107"/>
      <c r="G443" s="109"/>
      <c r="H443" s="295"/>
      <c r="I443" s="295"/>
      <c r="J443" s="295"/>
      <c r="K443" s="295"/>
    </row>
    <row r="444" spans="1:11" ht="12.75" customHeight="1" x14ac:dyDescent="0.25">
      <c r="A444" s="184" t="s">
        <v>609</v>
      </c>
      <c r="B444" s="176" t="s">
        <v>555</v>
      </c>
      <c r="C444" s="237"/>
      <c r="D444" s="326">
        <f>127.4+20</f>
        <v>147.4</v>
      </c>
      <c r="E444" s="327"/>
      <c r="F444" s="107"/>
      <c r="G444" s="112"/>
      <c r="H444" s="112"/>
      <c r="I444" s="112"/>
      <c r="J444" s="112"/>
    </row>
    <row r="445" spans="1:11" ht="12.75" customHeight="1" x14ac:dyDescent="0.25">
      <c r="A445" s="184" t="s">
        <v>610</v>
      </c>
      <c r="B445" s="176" t="s">
        <v>557</v>
      </c>
      <c r="C445" s="237"/>
      <c r="D445" s="326">
        <f>18.4+3</f>
        <v>21.4</v>
      </c>
      <c r="E445" s="327"/>
      <c r="F445" s="107"/>
      <c r="G445" s="107"/>
    </row>
    <row r="446" spans="1:11" ht="12.75" customHeight="1" x14ac:dyDescent="0.25">
      <c r="A446" s="184" t="s">
        <v>611</v>
      </c>
      <c r="B446" s="176" t="s">
        <v>559</v>
      </c>
      <c r="C446" s="237"/>
      <c r="D446" s="326">
        <f>50.6+2+1.5</f>
        <v>54.1</v>
      </c>
      <c r="E446" s="327"/>
      <c r="F446" s="107"/>
      <c r="G446" s="107"/>
      <c r="H446" s="295"/>
    </row>
    <row r="447" spans="1:11" ht="12.75" customHeight="1" x14ac:dyDescent="0.25">
      <c r="A447" s="184" t="s">
        <v>612</v>
      </c>
      <c r="B447" s="176" t="s">
        <v>536</v>
      </c>
      <c r="C447" s="237"/>
      <c r="D447" s="326">
        <f>70.5+15+1.5</f>
        <v>87</v>
      </c>
      <c r="E447" s="327"/>
      <c r="F447" s="107"/>
      <c r="G447" s="107"/>
    </row>
    <row r="448" spans="1:11" ht="12.75" customHeight="1" x14ac:dyDescent="0.25">
      <c r="A448" s="184" t="s">
        <v>613</v>
      </c>
      <c r="B448" s="176" t="s">
        <v>562</v>
      </c>
      <c r="C448" s="237"/>
      <c r="D448" s="326">
        <f>50.8+1+1</f>
        <v>52.8</v>
      </c>
      <c r="E448" s="327"/>
      <c r="F448" s="107"/>
      <c r="G448" s="107"/>
    </row>
    <row r="449" spans="1:10" ht="12.75" customHeight="1" x14ac:dyDescent="0.25">
      <c r="A449" s="184" t="s">
        <v>614</v>
      </c>
      <c r="B449" s="176" t="s">
        <v>564</v>
      </c>
      <c r="C449" s="237"/>
      <c r="D449" s="326">
        <f>32.3+15</f>
        <v>47.3</v>
      </c>
      <c r="E449" s="327"/>
      <c r="F449" s="107"/>
      <c r="G449" s="107"/>
    </row>
    <row r="450" spans="1:10" ht="12.75" customHeight="1" x14ac:dyDescent="0.25">
      <c r="A450" s="184" t="s">
        <v>615</v>
      </c>
      <c r="B450" s="176" t="s">
        <v>566</v>
      </c>
      <c r="C450" s="237"/>
      <c r="D450" s="326">
        <f>44.1+5</f>
        <v>49.1</v>
      </c>
      <c r="E450" s="327"/>
      <c r="F450" s="113"/>
      <c r="G450" s="112"/>
      <c r="H450" s="112"/>
      <c r="J450" s="295"/>
    </row>
    <row r="451" spans="1:10" ht="36.75" customHeight="1" x14ac:dyDescent="0.25">
      <c r="A451" s="166" t="s">
        <v>616</v>
      </c>
      <c r="B451" s="155" t="s">
        <v>617</v>
      </c>
      <c r="C451" s="238" t="s">
        <v>410</v>
      </c>
      <c r="D451" s="326">
        <v>3427.8</v>
      </c>
      <c r="E451" s="327"/>
      <c r="F451" s="107"/>
      <c r="G451" s="107"/>
      <c r="I451" s="295"/>
    </row>
    <row r="452" spans="1:10" ht="23.4" customHeight="1" x14ac:dyDescent="0.25">
      <c r="A452" s="166" t="s">
        <v>618</v>
      </c>
      <c r="B452" s="207" t="s">
        <v>473</v>
      </c>
      <c r="C452" s="238" t="s">
        <v>410</v>
      </c>
      <c r="D452" s="326">
        <v>433.4</v>
      </c>
      <c r="E452" s="327"/>
      <c r="F452" s="107"/>
      <c r="G452" s="107"/>
    </row>
    <row r="453" spans="1:10" ht="22.95" customHeight="1" x14ac:dyDescent="0.25">
      <c r="A453" s="166" t="s">
        <v>619</v>
      </c>
      <c r="B453" s="207" t="s">
        <v>473</v>
      </c>
      <c r="C453" s="238" t="s">
        <v>604</v>
      </c>
      <c r="D453" s="326">
        <v>821.7</v>
      </c>
      <c r="E453" s="327">
        <v>1.2</v>
      </c>
      <c r="F453" s="107"/>
      <c r="G453" s="112"/>
      <c r="H453" s="112"/>
      <c r="I453" s="112"/>
      <c r="J453" s="112"/>
    </row>
    <row r="454" spans="1:10" ht="12.75" customHeight="1" x14ac:dyDescent="0.25">
      <c r="A454" s="166" t="s">
        <v>620</v>
      </c>
      <c r="B454" s="213" t="s">
        <v>240</v>
      </c>
      <c r="C454" s="238" t="s">
        <v>604</v>
      </c>
      <c r="D454" s="326">
        <v>5</v>
      </c>
      <c r="E454" s="327"/>
      <c r="F454" s="107"/>
      <c r="G454" s="112"/>
      <c r="H454" s="112"/>
      <c r="I454" s="112"/>
      <c r="J454" s="112"/>
    </row>
    <row r="455" spans="1:10" ht="16.2" customHeight="1" x14ac:dyDescent="0.25">
      <c r="A455" s="420" t="s">
        <v>621</v>
      </c>
      <c r="B455" s="155" t="s">
        <v>573</v>
      </c>
      <c r="C455" s="238" t="s">
        <v>410</v>
      </c>
      <c r="D455" s="326">
        <v>120</v>
      </c>
      <c r="E455" s="327"/>
      <c r="F455" s="107"/>
      <c r="G455" s="112"/>
      <c r="H455" s="112"/>
      <c r="I455" s="112"/>
      <c r="J455" s="112"/>
    </row>
    <row r="456" spans="1:10" ht="24.75" customHeight="1" x14ac:dyDescent="0.25">
      <c r="A456" s="166" t="s">
        <v>622</v>
      </c>
      <c r="B456" s="229" t="s">
        <v>460</v>
      </c>
      <c r="C456" s="239" t="s">
        <v>461</v>
      </c>
      <c r="D456" s="384">
        <f>D458+D462+D463</f>
        <v>2381.1</v>
      </c>
      <c r="E456" s="383"/>
      <c r="F456" s="114"/>
      <c r="G456" s="114"/>
    </row>
    <row r="457" spans="1:10" ht="12.75" customHeight="1" x14ac:dyDescent="0.25">
      <c r="A457" s="184"/>
      <c r="B457" s="176" t="s">
        <v>542</v>
      </c>
      <c r="C457" s="239"/>
      <c r="D457" s="384"/>
      <c r="E457" s="327"/>
      <c r="F457" s="107"/>
      <c r="G457" s="107"/>
    </row>
    <row r="458" spans="1:10" ht="12.75" customHeight="1" x14ac:dyDescent="0.25">
      <c r="A458" s="184" t="s">
        <v>623</v>
      </c>
      <c r="B458" s="213" t="s">
        <v>458</v>
      </c>
      <c r="C458" s="239"/>
      <c r="D458" s="329">
        <v>1288.5999999999999</v>
      </c>
      <c r="E458" s="327"/>
      <c r="F458" s="115"/>
      <c r="G458" s="115"/>
    </row>
    <row r="459" spans="1:10" ht="12.75" customHeight="1" x14ac:dyDescent="0.25">
      <c r="A459" s="184"/>
      <c r="B459" s="176" t="s">
        <v>230</v>
      </c>
      <c r="C459" s="239"/>
      <c r="D459" s="329"/>
      <c r="E459" s="327"/>
      <c r="F459" s="115"/>
      <c r="G459" s="115"/>
    </row>
    <row r="460" spans="1:10" ht="12.75" customHeight="1" x14ac:dyDescent="0.25">
      <c r="A460" s="424" t="s">
        <v>624</v>
      </c>
      <c r="B460" s="435" t="s">
        <v>553</v>
      </c>
      <c r="C460" s="239"/>
      <c r="D460" s="329">
        <v>4</v>
      </c>
      <c r="E460" s="327"/>
      <c r="F460" s="115"/>
      <c r="G460" s="115"/>
    </row>
    <row r="461" spans="1:10" ht="12.75" customHeight="1" x14ac:dyDescent="0.25">
      <c r="A461" s="420" t="s">
        <v>864</v>
      </c>
      <c r="B461" s="160" t="s">
        <v>536</v>
      </c>
      <c r="C461" s="239"/>
      <c r="D461" s="329">
        <f>6+12</f>
        <v>18</v>
      </c>
      <c r="E461" s="327"/>
      <c r="F461" s="115"/>
      <c r="G461" s="115"/>
    </row>
    <row r="462" spans="1:10" ht="33.6" customHeight="1" x14ac:dyDescent="0.25">
      <c r="A462" s="166" t="s">
        <v>625</v>
      </c>
      <c r="B462" s="207" t="s">
        <v>473</v>
      </c>
      <c r="C462" s="239"/>
      <c r="D462" s="329">
        <v>135.5</v>
      </c>
      <c r="E462" s="327"/>
      <c r="F462" s="107"/>
      <c r="G462" s="107"/>
    </row>
    <row r="463" spans="1:10" ht="25.2" customHeight="1" x14ac:dyDescent="0.25">
      <c r="A463" s="166" t="s">
        <v>626</v>
      </c>
      <c r="B463" s="207" t="s">
        <v>56</v>
      </c>
      <c r="C463" s="239"/>
      <c r="D463" s="329">
        <v>957</v>
      </c>
      <c r="E463" s="327"/>
      <c r="F463" s="107"/>
      <c r="G463" s="107"/>
    </row>
    <row r="464" spans="1:10" ht="12.75" customHeight="1" x14ac:dyDescent="0.25">
      <c r="A464" s="240" t="s">
        <v>628</v>
      </c>
      <c r="B464" s="241" t="s">
        <v>512</v>
      </c>
      <c r="C464" s="239"/>
      <c r="D464" s="382">
        <f>SUM(D466:D467)</f>
        <v>1569</v>
      </c>
      <c r="E464" s="391">
        <f>SUM(E466:E467)</f>
        <v>241.7</v>
      </c>
      <c r="F464" s="114"/>
      <c r="G464" s="114"/>
    </row>
    <row r="465" spans="1:12" ht="12.75" customHeight="1" x14ac:dyDescent="0.25">
      <c r="A465" s="242"/>
      <c r="B465" s="176" t="s">
        <v>542</v>
      </c>
      <c r="C465" s="239"/>
      <c r="D465" s="382"/>
      <c r="E465" s="327"/>
      <c r="F465" s="107"/>
      <c r="G465" s="107"/>
    </row>
    <row r="466" spans="1:12" ht="12.75" customHeight="1" x14ac:dyDescent="0.25">
      <c r="A466" s="240" t="s">
        <v>629</v>
      </c>
      <c r="B466" s="213" t="s">
        <v>458</v>
      </c>
      <c r="C466" s="239" t="s">
        <v>461</v>
      </c>
      <c r="D466" s="326">
        <f>420+500+300</f>
        <v>1220</v>
      </c>
      <c r="E466" s="328"/>
      <c r="F466" s="107"/>
      <c r="G466" s="107"/>
    </row>
    <row r="467" spans="1:12" ht="17.25" customHeight="1" x14ac:dyDescent="0.25">
      <c r="A467" s="437" t="s">
        <v>630</v>
      </c>
      <c r="B467" s="213" t="s">
        <v>458</v>
      </c>
      <c r="C467" s="239" t="s">
        <v>232</v>
      </c>
      <c r="D467" s="326">
        <f>312+17+20</f>
        <v>349</v>
      </c>
      <c r="E467" s="327">
        <f>229+12.7</f>
        <v>241.7</v>
      </c>
      <c r="F467" s="107"/>
      <c r="G467" s="107"/>
    </row>
    <row r="468" spans="1:12" ht="25.5" customHeight="1" x14ac:dyDescent="0.25">
      <c r="A468" s="243" t="s">
        <v>631</v>
      </c>
      <c r="B468" s="229" t="s">
        <v>241</v>
      </c>
      <c r="C468" s="244"/>
      <c r="D468" s="382">
        <f>D470+D504+D508+D509+D522+D523+D524+D525+D526+D529+D546+D547</f>
        <v>9772.2000000000007</v>
      </c>
      <c r="E468" s="391">
        <f>E470+E504+E508+E509+E522+E523+E524+E525+E526+E529+E547</f>
        <v>6398.7999999999993</v>
      </c>
      <c r="F468" s="114"/>
      <c r="G468" s="114"/>
    </row>
    <row r="469" spans="1:12" ht="12.75" customHeight="1" x14ac:dyDescent="0.25">
      <c r="A469" s="242"/>
      <c r="B469" s="176" t="s">
        <v>542</v>
      </c>
      <c r="C469" s="244"/>
      <c r="D469" s="382"/>
      <c r="E469" s="327"/>
      <c r="F469" s="107"/>
      <c r="G469" s="107"/>
      <c r="H469" s="297"/>
      <c r="I469" s="297"/>
    </row>
    <row r="470" spans="1:12" ht="12.75" customHeight="1" x14ac:dyDescent="0.25">
      <c r="A470" s="240" t="s">
        <v>632</v>
      </c>
      <c r="B470" s="172"/>
      <c r="C470" s="237" t="s">
        <v>394</v>
      </c>
      <c r="D470" s="326">
        <f>D472+D473</f>
        <v>6265.2</v>
      </c>
      <c r="E470" s="328">
        <f>E472+E473</f>
        <v>3759.5000000000005</v>
      </c>
      <c r="F470" s="115"/>
      <c r="G470" s="115"/>
    </row>
    <row r="471" spans="1:12" ht="12.75" customHeight="1" x14ac:dyDescent="0.25">
      <c r="A471" s="242"/>
      <c r="B471" s="176" t="s">
        <v>230</v>
      </c>
      <c r="C471" s="244"/>
      <c r="D471" s="326"/>
      <c r="E471" s="327"/>
      <c r="F471" s="107"/>
      <c r="G471" s="107"/>
    </row>
    <row r="472" spans="1:12" ht="12.75" customHeight="1" x14ac:dyDescent="0.25">
      <c r="A472" s="240" t="s">
        <v>633</v>
      </c>
      <c r="B472" s="213" t="s">
        <v>634</v>
      </c>
      <c r="C472" s="244"/>
      <c r="D472" s="326">
        <v>445.9</v>
      </c>
      <c r="E472" s="327">
        <v>286.60000000000002</v>
      </c>
      <c r="F472" s="107"/>
      <c r="G472" s="107"/>
    </row>
    <row r="473" spans="1:12" ht="12.75" customHeight="1" x14ac:dyDescent="0.25">
      <c r="A473" s="240" t="s">
        <v>635</v>
      </c>
      <c r="B473" s="213" t="s">
        <v>175</v>
      </c>
      <c r="C473" s="244"/>
      <c r="D473" s="326">
        <f>D475+D488+D498</f>
        <v>5819.3</v>
      </c>
      <c r="E473" s="328">
        <f>E475+E488+E498</f>
        <v>3472.9000000000005</v>
      </c>
      <c r="F473" s="115"/>
      <c r="G473" s="115"/>
    </row>
    <row r="474" spans="1:12" ht="12.75" customHeight="1" x14ac:dyDescent="0.25">
      <c r="A474" s="242"/>
      <c r="B474" s="176" t="s">
        <v>542</v>
      </c>
      <c r="C474" s="244"/>
      <c r="D474" s="400"/>
      <c r="E474" s="401"/>
      <c r="F474" s="107"/>
      <c r="G474" s="107"/>
    </row>
    <row r="475" spans="1:12" ht="12.75" customHeight="1" x14ac:dyDescent="0.25">
      <c r="A475" s="240" t="s">
        <v>636</v>
      </c>
      <c r="B475" s="213" t="s">
        <v>458</v>
      </c>
      <c r="C475" s="244"/>
      <c r="D475" s="326">
        <f>3055.2+127.4+195+30+1123.1+120+28.4+23.9+55.3+32.6+23+7.8+200+100+30+50+118+365.2</f>
        <v>5684.9</v>
      </c>
      <c r="E475" s="327">
        <f>2392.9+869.2+27.4+23+53.5+31.5</f>
        <v>3397.5000000000005</v>
      </c>
      <c r="F475" s="107"/>
      <c r="G475" s="107"/>
      <c r="I475" s="295"/>
      <c r="J475" s="295"/>
      <c r="K475" s="295"/>
      <c r="L475" s="295"/>
    </row>
    <row r="476" spans="1:12" ht="12.75" customHeight="1" x14ac:dyDescent="0.25">
      <c r="A476" s="242"/>
      <c r="B476" s="176" t="s">
        <v>230</v>
      </c>
      <c r="C476" s="244"/>
      <c r="D476" s="326"/>
      <c r="E476" s="327"/>
      <c r="F476" s="112"/>
      <c r="G476" s="112"/>
      <c r="H476" s="295"/>
    </row>
    <row r="477" spans="1:12" ht="12.75" customHeight="1" x14ac:dyDescent="0.25">
      <c r="A477" s="240" t="s">
        <v>637</v>
      </c>
      <c r="B477" s="176" t="s">
        <v>547</v>
      </c>
      <c r="C477" s="244"/>
      <c r="D477" s="326">
        <v>100.5</v>
      </c>
      <c r="E477" s="327">
        <v>74.099999999999994</v>
      </c>
      <c r="F477" s="112"/>
      <c r="G477" s="112"/>
      <c r="I477" s="295"/>
      <c r="J477" s="295"/>
      <c r="K477" s="295"/>
      <c r="L477" s="295"/>
    </row>
    <row r="478" spans="1:12" ht="12.75" customHeight="1" x14ac:dyDescent="0.25">
      <c r="A478" s="240" t="s">
        <v>638</v>
      </c>
      <c r="B478" s="176" t="s">
        <v>549</v>
      </c>
      <c r="C478" s="244"/>
      <c r="D478" s="326">
        <v>99.9</v>
      </c>
      <c r="E478" s="327">
        <v>75</v>
      </c>
      <c r="F478" s="107"/>
      <c r="G478" s="107"/>
    </row>
    <row r="479" spans="1:12" ht="12.75" customHeight="1" x14ac:dyDescent="0.25">
      <c r="A479" s="240" t="s">
        <v>639</v>
      </c>
      <c r="B479" s="176" t="s">
        <v>551</v>
      </c>
      <c r="C479" s="244"/>
      <c r="D479" s="326">
        <v>114.6</v>
      </c>
      <c r="E479" s="327">
        <v>87.8</v>
      </c>
      <c r="F479" s="107"/>
      <c r="G479" s="107"/>
    </row>
    <row r="480" spans="1:12" ht="12.75" customHeight="1" x14ac:dyDescent="0.25">
      <c r="A480" s="240" t="s">
        <v>640</v>
      </c>
      <c r="B480" s="176" t="s">
        <v>553</v>
      </c>
      <c r="C480" s="244"/>
      <c r="D480" s="326">
        <v>89.9</v>
      </c>
      <c r="E480" s="327">
        <v>73.2</v>
      </c>
      <c r="F480" s="107"/>
      <c r="G480" s="107"/>
    </row>
    <row r="481" spans="1:11" ht="12.75" customHeight="1" x14ac:dyDescent="0.25">
      <c r="A481" s="240" t="s">
        <v>641</v>
      </c>
      <c r="B481" s="176" t="s">
        <v>555</v>
      </c>
      <c r="C481" s="244"/>
      <c r="D481" s="326">
        <f>77.5+21.7</f>
        <v>99.2</v>
      </c>
      <c r="E481" s="327">
        <f>70.6+21</f>
        <v>91.6</v>
      </c>
      <c r="F481" s="107"/>
      <c r="G481" s="112"/>
      <c r="H481" s="112"/>
      <c r="I481" s="112"/>
    </row>
    <row r="482" spans="1:11" ht="12.75" customHeight="1" x14ac:dyDescent="0.25">
      <c r="A482" s="240" t="s">
        <v>642</v>
      </c>
      <c r="B482" s="176" t="s">
        <v>557</v>
      </c>
      <c r="C482" s="244"/>
      <c r="D482" s="326">
        <v>94.5</v>
      </c>
      <c r="E482" s="327">
        <v>73.400000000000006</v>
      </c>
      <c r="F482" s="107"/>
      <c r="G482" s="107"/>
    </row>
    <row r="483" spans="1:11" ht="12.75" customHeight="1" x14ac:dyDescent="0.25">
      <c r="A483" s="240" t="s">
        <v>643</v>
      </c>
      <c r="B483" s="176" t="s">
        <v>559</v>
      </c>
      <c r="C483" s="244"/>
      <c r="D483" s="326">
        <v>90.7</v>
      </c>
      <c r="E483" s="327">
        <v>70</v>
      </c>
      <c r="F483" s="107"/>
      <c r="G483" s="107"/>
    </row>
    <row r="484" spans="1:11" ht="12.75" customHeight="1" x14ac:dyDescent="0.25">
      <c r="A484" s="240" t="s">
        <v>644</v>
      </c>
      <c r="B484" s="176" t="s">
        <v>536</v>
      </c>
      <c r="C484" s="244"/>
      <c r="D484" s="326">
        <f>107.2+10.9</f>
        <v>118.10000000000001</v>
      </c>
      <c r="E484" s="327">
        <f>81.7+10.5</f>
        <v>92.2</v>
      </c>
      <c r="F484" s="107"/>
      <c r="G484" s="107"/>
    </row>
    <row r="485" spans="1:11" ht="12.75" customHeight="1" x14ac:dyDescent="0.25">
      <c r="A485" s="240" t="s">
        <v>645</v>
      </c>
      <c r="B485" s="176" t="s">
        <v>562</v>
      </c>
      <c r="C485" s="244"/>
      <c r="D485" s="326">
        <v>140.1</v>
      </c>
      <c r="E485" s="327">
        <v>95.6</v>
      </c>
      <c r="F485" s="107"/>
      <c r="G485" s="107"/>
    </row>
    <row r="486" spans="1:11" ht="12.75" customHeight="1" x14ac:dyDescent="0.25">
      <c r="A486" s="240" t="s">
        <v>646</v>
      </c>
      <c r="B486" s="176" t="s">
        <v>564</v>
      </c>
      <c r="C486" s="244"/>
      <c r="D486" s="326">
        <v>96.4</v>
      </c>
      <c r="E486" s="327">
        <v>78.099999999999994</v>
      </c>
      <c r="F486" s="107"/>
      <c r="G486" s="107"/>
    </row>
    <row r="487" spans="1:11" ht="12.75" customHeight="1" x14ac:dyDescent="0.25">
      <c r="A487" s="240" t="s">
        <v>647</v>
      </c>
      <c r="B487" s="176" t="s">
        <v>566</v>
      </c>
      <c r="C487" s="244"/>
      <c r="D487" s="326">
        <v>111.8</v>
      </c>
      <c r="E487" s="327">
        <v>89.7</v>
      </c>
      <c r="F487" s="107"/>
      <c r="G487" s="112"/>
      <c r="H487" s="112"/>
      <c r="I487" s="112"/>
    </row>
    <row r="488" spans="1:11" ht="12.75" customHeight="1" x14ac:dyDescent="0.25">
      <c r="A488" s="240" t="s">
        <v>648</v>
      </c>
      <c r="B488" s="213" t="s">
        <v>649</v>
      </c>
      <c r="C488" s="236"/>
      <c r="D488" s="326">
        <f>1+17.4+8.5+33.1+0.2+9.8+0.4+8.9</f>
        <v>79.300000000000011</v>
      </c>
      <c r="E488" s="327">
        <f>1+14.5+8.4+32.6+9.7+0.4+8.8</f>
        <v>75.400000000000006</v>
      </c>
      <c r="F488" s="107"/>
      <c r="G488" s="107"/>
    </row>
    <row r="489" spans="1:11" ht="12.75" customHeight="1" x14ac:dyDescent="0.25">
      <c r="A489" s="242"/>
      <c r="B489" s="176" t="s">
        <v>230</v>
      </c>
      <c r="C489" s="236"/>
      <c r="D489" s="326"/>
      <c r="E489" s="327"/>
      <c r="F489" s="112"/>
      <c r="G489" s="112"/>
      <c r="H489" s="295"/>
      <c r="I489" s="295"/>
    </row>
    <row r="490" spans="1:11" ht="12.75" customHeight="1" x14ac:dyDescent="0.25">
      <c r="A490" s="240" t="s">
        <v>650</v>
      </c>
      <c r="B490" s="176" t="s">
        <v>547</v>
      </c>
      <c r="C490" s="236"/>
      <c r="D490" s="326">
        <v>0.3</v>
      </c>
      <c r="E490" s="327">
        <v>0.3</v>
      </c>
      <c r="F490" s="112"/>
      <c r="G490" s="112"/>
      <c r="I490" s="295"/>
      <c r="J490" s="295"/>
      <c r="K490" s="295"/>
    </row>
    <row r="491" spans="1:11" ht="12.75" customHeight="1" x14ac:dyDescent="0.25">
      <c r="A491" s="240" t="s">
        <v>651</v>
      </c>
      <c r="B491" s="176" t="s">
        <v>549</v>
      </c>
      <c r="C491" s="236"/>
      <c r="D491" s="326">
        <v>1.2</v>
      </c>
      <c r="E491" s="327">
        <v>1.2</v>
      </c>
      <c r="F491" s="107"/>
      <c r="G491" s="107"/>
    </row>
    <row r="492" spans="1:11" ht="12.75" customHeight="1" x14ac:dyDescent="0.25">
      <c r="A492" s="240" t="s">
        <v>652</v>
      </c>
      <c r="B492" s="176" t="s">
        <v>553</v>
      </c>
      <c r="C492" s="236"/>
      <c r="D492" s="326">
        <v>0.3</v>
      </c>
      <c r="E492" s="327">
        <v>0.3</v>
      </c>
      <c r="F492" s="112"/>
      <c r="G492" s="112"/>
    </row>
    <row r="493" spans="1:11" ht="12.75" customHeight="1" x14ac:dyDescent="0.25">
      <c r="A493" s="240" t="s">
        <v>653</v>
      </c>
      <c r="B493" s="176" t="s">
        <v>557</v>
      </c>
      <c r="C493" s="236"/>
      <c r="D493" s="326">
        <v>0.2</v>
      </c>
      <c r="E493" s="327">
        <v>0.2</v>
      </c>
      <c r="F493" s="107"/>
      <c r="G493" s="112"/>
      <c r="H493" s="112"/>
      <c r="I493" s="112"/>
    </row>
    <row r="494" spans="1:11" ht="12.75" customHeight="1" x14ac:dyDescent="0.25">
      <c r="A494" s="240" t="s">
        <v>654</v>
      </c>
      <c r="B494" s="176" t="s">
        <v>559</v>
      </c>
      <c r="C494" s="236"/>
      <c r="D494" s="326">
        <v>1.3</v>
      </c>
      <c r="E494" s="327">
        <v>1.3</v>
      </c>
      <c r="F494" s="107"/>
      <c r="G494" s="107"/>
    </row>
    <row r="495" spans="1:11" ht="12.75" customHeight="1" x14ac:dyDescent="0.25">
      <c r="A495" s="240" t="s">
        <v>655</v>
      </c>
      <c r="B495" s="176" t="s">
        <v>562</v>
      </c>
      <c r="C495" s="236"/>
      <c r="D495" s="326">
        <v>3.6</v>
      </c>
      <c r="E495" s="327">
        <v>3.5</v>
      </c>
      <c r="F495" s="107"/>
      <c r="G495" s="107"/>
    </row>
    <row r="496" spans="1:11" ht="12.75" customHeight="1" x14ac:dyDescent="0.25">
      <c r="A496" s="240" t="s">
        <v>656</v>
      </c>
      <c r="B496" s="176" t="s">
        <v>564</v>
      </c>
      <c r="C496" s="236"/>
      <c r="D496" s="326">
        <v>0.5</v>
      </c>
      <c r="E496" s="327">
        <v>0.5</v>
      </c>
      <c r="F496" s="107"/>
      <c r="G496" s="107"/>
    </row>
    <row r="497" spans="1:9" ht="12.75" customHeight="1" x14ac:dyDescent="0.25">
      <c r="A497" s="240" t="s">
        <v>657</v>
      </c>
      <c r="B497" s="176" t="s">
        <v>566</v>
      </c>
      <c r="C497" s="236"/>
      <c r="D497" s="326">
        <v>1.5</v>
      </c>
      <c r="E497" s="327">
        <v>1.5</v>
      </c>
      <c r="F497" s="107"/>
      <c r="G497" s="112"/>
      <c r="H497" s="112"/>
      <c r="I497" s="112"/>
    </row>
    <row r="498" spans="1:9" ht="12.75" customHeight="1" x14ac:dyDescent="0.25">
      <c r="A498" s="240" t="s">
        <v>658</v>
      </c>
      <c r="B498" s="213" t="s">
        <v>240</v>
      </c>
      <c r="C498" s="244"/>
      <c r="D498" s="326">
        <v>55.1</v>
      </c>
      <c r="E498" s="327"/>
      <c r="F498" s="107"/>
      <c r="G498" s="107"/>
    </row>
    <row r="499" spans="1:9" ht="12.75" customHeight="1" x14ac:dyDescent="0.25">
      <c r="A499" s="242"/>
      <c r="B499" s="176" t="s">
        <v>230</v>
      </c>
      <c r="C499" s="244"/>
      <c r="D499" s="326"/>
      <c r="E499" s="327"/>
      <c r="F499" s="112"/>
      <c r="G499" s="112"/>
      <c r="H499" s="295"/>
    </row>
    <row r="500" spans="1:9" ht="12.75" customHeight="1" x14ac:dyDescent="0.25">
      <c r="A500" s="240" t="s">
        <v>659</v>
      </c>
      <c r="B500" s="176" t="s">
        <v>549</v>
      </c>
      <c r="C500" s="244"/>
      <c r="D500" s="326">
        <v>0.4</v>
      </c>
      <c r="E500" s="327"/>
      <c r="F500" s="107"/>
      <c r="G500" s="112"/>
      <c r="H500" s="112"/>
    </row>
    <row r="501" spans="1:9" ht="12.75" customHeight="1" x14ac:dyDescent="0.25">
      <c r="A501" s="240" t="s">
        <v>660</v>
      </c>
      <c r="B501" s="176" t="s">
        <v>557</v>
      </c>
      <c r="C501" s="244"/>
      <c r="D501" s="326">
        <v>0.3</v>
      </c>
      <c r="E501" s="327"/>
      <c r="F501" s="107"/>
      <c r="G501" s="107"/>
    </row>
    <row r="502" spans="1:9" ht="12.75" customHeight="1" x14ac:dyDescent="0.25">
      <c r="A502" s="240" t="s">
        <v>661</v>
      </c>
      <c r="B502" s="176" t="s">
        <v>559</v>
      </c>
      <c r="C502" s="244"/>
      <c r="D502" s="326">
        <v>1.3</v>
      </c>
      <c r="E502" s="327"/>
      <c r="F502" s="107"/>
      <c r="G502" s="107"/>
    </row>
    <row r="503" spans="1:9" ht="12.75" customHeight="1" x14ac:dyDescent="0.25">
      <c r="A503" s="240" t="s">
        <v>662</v>
      </c>
      <c r="B503" s="176" t="s">
        <v>564</v>
      </c>
      <c r="C503" s="244"/>
      <c r="D503" s="326">
        <v>1.7</v>
      </c>
      <c r="E503" s="327"/>
      <c r="F503" s="112"/>
      <c r="G503" s="112"/>
      <c r="H503" s="112"/>
    </row>
    <row r="504" spans="1:9" ht="12.75" customHeight="1" x14ac:dyDescent="0.25">
      <c r="A504" s="240" t="s">
        <v>663</v>
      </c>
      <c r="B504" s="245"/>
      <c r="C504" s="237" t="s">
        <v>664</v>
      </c>
      <c r="D504" s="326">
        <f>D506+D507</f>
        <v>92</v>
      </c>
      <c r="E504" s="328">
        <f>E506+E507</f>
        <v>74.599999999999994</v>
      </c>
      <c r="F504" s="115"/>
      <c r="G504" s="115"/>
    </row>
    <row r="505" spans="1:9" ht="12.75" customHeight="1" x14ac:dyDescent="0.25">
      <c r="A505" s="240"/>
      <c r="B505" s="176" t="s">
        <v>230</v>
      </c>
      <c r="C505" s="237"/>
      <c r="D505" s="326"/>
      <c r="E505" s="327"/>
      <c r="F505" s="115"/>
      <c r="G505" s="115"/>
    </row>
    <row r="506" spans="1:9" ht="12.75" customHeight="1" x14ac:dyDescent="0.25">
      <c r="A506" s="240" t="s">
        <v>665</v>
      </c>
      <c r="B506" s="213" t="s">
        <v>521</v>
      </c>
      <c r="C506" s="244"/>
      <c r="D506" s="326">
        <f>31.5+43.3</f>
        <v>74.8</v>
      </c>
      <c r="E506" s="327">
        <f>21.9+36.8</f>
        <v>58.699999999999996</v>
      </c>
      <c r="F506" s="107"/>
      <c r="G506" s="107"/>
    </row>
    <row r="507" spans="1:9" ht="12.75" customHeight="1" x14ac:dyDescent="0.25">
      <c r="A507" s="240" t="s">
        <v>666</v>
      </c>
      <c r="B507" s="213" t="s">
        <v>458</v>
      </c>
      <c r="C507" s="244"/>
      <c r="D507" s="326">
        <f>4+13.2</f>
        <v>17.2</v>
      </c>
      <c r="E507" s="327">
        <f>3.4+12.5</f>
        <v>15.9</v>
      </c>
      <c r="F507" s="107"/>
      <c r="G507" s="107"/>
    </row>
    <row r="508" spans="1:9" ht="12.75" customHeight="1" x14ac:dyDescent="0.25">
      <c r="A508" s="240" t="s">
        <v>667</v>
      </c>
      <c r="B508" s="213" t="s">
        <v>458</v>
      </c>
      <c r="C508" s="238" t="s">
        <v>519</v>
      </c>
      <c r="D508" s="326">
        <v>49.2</v>
      </c>
      <c r="E508" s="327"/>
      <c r="F508" s="107"/>
      <c r="G508" s="107"/>
    </row>
    <row r="509" spans="1:9" ht="12.75" customHeight="1" x14ac:dyDescent="0.25">
      <c r="A509" s="240" t="s">
        <v>668</v>
      </c>
      <c r="B509" s="213"/>
      <c r="C509" s="237" t="s">
        <v>410</v>
      </c>
      <c r="D509" s="326">
        <f>D511+D512+D521</f>
        <v>1551.3999999999999</v>
      </c>
      <c r="E509" s="328">
        <f>E511+E512+E521</f>
        <v>1429.1999999999998</v>
      </c>
      <c r="F509" s="115"/>
      <c r="G509" s="115"/>
    </row>
    <row r="510" spans="1:9" ht="12.75" customHeight="1" x14ac:dyDescent="0.25">
      <c r="A510" s="242"/>
      <c r="B510" s="176" t="s">
        <v>230</v>
      </c>
      <c r="C510" s="237"/>
      <c r="D510" s="326"/>
      <c r="E510" s="327"/>
      <c r="F510" s="107"/>
      <c r="G510" s="107"/>
    </row>
    <row r="511" spans="1:9" ht="12.75" customHeight="1" x14ac:dyDescent="0.25">
      <c r="A511" s="240" t="s">
        <v>669</v>
      </c>
      <c r="B511" s="213" t="s">
        <v>458</v>
      </c>
      <c r="C511" s="237"/>
      <c r="D511" s="326">
        <f>827.9+170.9+186.6+42+16+5</f>
        <v>1248.3999999999999</v>
      </c>
      <c r="E511" s="327">
        <f>810+167.4+182.2</f>
        <v>1159.5999999999999</v>
      </c>
      <c r="F511" s="107"/>
      <c r="G511" s="107"/>
    </row>
    <row r="512" spans="1:9" ht="12.75" customHeight="1" x14ac:dyDescent="0.25">
      <c r="A512" s="240" t="s">
        <v>670</v>
      </c>
      <c r="B512" s="213" t="s">
        <v>521</v>
      </c>
      <c r="C512" s="237"/>
      <c r="D512" s="326">
        <f>71.9+130.1+81</f>
        <v>283</v>
      </c>
      <c r="E512" s="327">
        <f>66.6+128+75</f>
        <v>269.60000000000002</v>
      </c>
      <c r="F512" s="107"/>
      <c r="G512" s="107"/>
    </row>
    <row r="513" spans="1:11" ht="12.75" customHeight="1" x14ac:dyDescent="0.25">
      <c r="A513" s="242"/>
      <c r="B513" s="176" t="s">
        <v>230</v>
      </c>
      <c r="C513" s="237"/>
      <c r="D513" s="326"/>
      <c r="E513" s="327"/>
      <c r="F513" s="112"/>
      <c r="G513" s="112"/>
      <c r="H513" s="295"/>
      <c r="I513" s="295"/>
    </row>
    <row r="514" spans="1:11" ht="12.75" customHeight="1" x14ac:dyDescent="0.25">
      <c r="A514" s="240" t="s">
        <v>671</v>
      </c>
      <c r="B514" s="176" t="s">
        <v>547</v>
      </c>
      <c r="C514" s="237"/>
      <c r="D514" s="326">
        <v>9.4</v>
      </c>
      <c r="E514" s="327">
        <v>9</v>
      </c>
      <c r="F514" s="112"/>
      <c r="G514" s="112"/>
      <c r="H514" s="295"/>
      <c r="I514" s="295"/>
      <c r="J514" s="295"/>
      <c r="K514" s="295"/>
    </row>
    <row r="515" spans="1:11" ht="12.75" customHeight="1" x14ac:dyDescent="0.25">
      <c r="A515" s="240" t="s">
        <v>672</v>
      </c>
      <c r="B515" s="176" t="s">
        <v>551</v>
      </c>
      <c r="C515" s="237"/>
      <c r="D515" s="326">
        <v>21.3</v>
      </c>
      <c r="E515" s="327">
        <v>21</v>
      </c>
      <c r="F515" s="107"/>
      <c r="G515" s="107"/>
    </row>
    <row r="516" spans="1:11" ht="12.75" customHeight="1" x14ac:dyDescent="0.25">
      <c r="A516" s="240" t="s">
        <v>673</v>
      </c>
      <c r="B516" s="176" t="s">
        <v>557</v>
      </c>
      <c r="C516" s="237"/>
      <c r="D516" s="326">
        <v>21.3</v>
      </c>
      <c r="E516" s="327">
        <v>21</v>
      </c>
      <c r="F516" s="107"/>
      <c r="G516" s="109"/>
      <c r="H516" s="109"/>
    </row>
    <row r="517" spans="1:11" ht="12.75" customHeight="1" x14ac:dyDescent="0.25">
      <c r="A517" s="240" t="s">
        <v>674</v>
      </c>
      <c r="B517" s="176" t="s">
        <v>536</v>
      </c>
      <c r="C517" s="237"/>
      <c r="D517" s="326">
        <v>20.399999999999999</v>
      </c>
      <c r="E517" s="327">
        <v>20.100000000000001</v>
      </c>
      <c r="F517" s="107"/>
      <c r="G517" s="112"/>
      <c r="H517" s="112"/>
      <c r="I517" s="112"/>
    </row>
    <row r="518" spans="1:11" ht="12.75" customHeight="1" x14ac:dyDescent="0.25">
      <c r="A518" s="240" t="s">
        <v>675</v>
      </c>
      <c r="B518" s="176" t="s">
        <v>562</v>
      </c>
      <c r="C518" s="237"/>
      <c r="D518" s="326">
        <v>16</v>
      </c>
      <c r="E518" s="327">
        <v>15.8</v>
      </c>
      <c r="F518" s="107"/>
      <c r="G518" s="107"/>
    </row>
    <row r="519" spans="1:11" ht="12.75" customHeight="1" x14ac:dyDescent="0.25">
      <c r="A519" s="240" t="s">
        <v>676</v>
      </c>
      <c r="B519" s="176" t="s">
        <v>564</v>
      </c>
      <c r="C519" s="237"/>
      <c r="D519" s="326">
        <v>20.399999999999999</v>
      </c>
      <c r="E519" s="327">
        <v>20.100000000000001</v>
      </c>
      <c r="F519" s="107"/>
      <c r="G519" s="107"/>
    </row>
    <row r="520" spans="1:11" ht="12.75" customHeight="1" x14ac:dyDescent="0.25">
      <c r="A520" s="240" t="s">
        <v>677</v>
      </c>
      <c r="B520" s="176" t="s">
        <v>566</v>
      </c>
      <c r="C520" s="237"/>
      <c r="D520" s="326">
        <v>21.3</v>
      </c>
      <c r="E520" s="327">
        <v>21</v>
      </c>
      <c r="F520" s="107"/>
      <c r="G520" s="112"/>
      <c r="H520" s="112"/>
      <c r="I520" s="112"/>
    </row>
    <row r="521" spans="1:11" ht="12.75" customHeight="1" x14ac:dyDescent="0.25">
      <c r="A521" s="240" t="s">
        <v>678</v>
      </c>
      <c r="B521" s="213" t="s">
        <v>573</v>
      </c>
      <c r="C521" s="237"/>
      <c r="D521" s="326">
        <v>20</v>
      </c>
      <c r="E521" s="327"/>
      <c r="F521" s="107"/>
      <c r="G521" s="107"/>
    </row>
    <row r="522" spans="1:11" ht="12.75" customHeight="1" x14ac:dyDescent="0.25">
      <c r="A522" s="240" t="s">
        <v>679</v>
      </c>
      <c r="B522" s="213" t="s">
        <v>458</v>
      </c>
      <c r="C522" s="237" t="s">
        <v>541</v>
      </c>
      <c r="D522" s="326">
        <v>22.6</v>
      </c>
      <c r="E522" s="327">
        <v>21.7</v>
      </c>
      <c r="F522" s="107"/>
      <c r="G522" s="107"/>
    </row>
    <row r="523" spans="1:11" ht="12.75" customHeight="1" x14ac:dyDescent="0.25">
      <c r="A523" s="240" t="s">
        <v>680</v>
      </c>
      <c r="B523" s="213" t="s">
        <v>458</v>
      </c>
      <c r="C523" s="237" t="s">
        <v>604</v>
      </c>
      <c r="D523" s="326">
        <f>27.6+10+15</f>
        <v>52.6</v>
      </c>
      <c r="E523" s="327"/>
      <c r="F523" s="107"/>
      <c r="G523" s="107"/>
    </row>
    <row r="524" spans="1:11" ht="12.75" customHeight="1" x14ac:dyDescent="0.25">
      <c r="A524" s="240" t="s">
        <v>681</v>
      </c>
      <c r="B524" s="213" t="s">
        <v>458</v>
      </c>
      <c r="C524" s="237" t="s">
        <v>420</v>
      </c>
      <c r="D524" s="326">
        <v>100.2</v>
      </c>
      <c r="E524" s="327">
        <v>98.2</v>
      </c>
      <c r="F524" s="107"/>
      <c r="G524" s="107"/>
    </row>
    <row r="525" spans="1:11" ht="12.75" customHeight="1" x14ac:dyDescent="0.25">
      <c r="A525" s="451" t="s">
        <v>682</v>
      </c>
      <c r="B525" s="213" t="s">
        <v>458</v>
      </c>
      <c r="C525" s="450" t="s">
        <v>461</v>
      </c>
      <c r="D525" s="326">
        <f>55.5+300</f>
        <v>355.5</v>
      </c>
      <c r="E525" s="327">
        <v>54.2</v>
      </c>
      <c r="F525" s="107"/>
      <c r="G525" s="107"/>
    </row>
    <row r="526" spans="1:11" ht="12.75" customHeight="1" x14ac:dyDescent="0.25">
      <c r="A526" s="240" t="s">
        <v>683</v>
      </c>
      <c r="B526" s="213"/>
      <c r="C526" s="237" t="s">
        <v>232</v>
      </c>
      <c r="D526" s="326">
        <f>D527+D528</f>
        <v>284.60000000000002</v>
      </c>
      <c r="E526" s="328">
        <f>E527+E528</f>
        <v>256.8</v>
      </c>
      <c r="F526" s="107"/>
      <c r="G526" s="107"/>
    </row>
    <row r="527" spans="1:11" ht="12.75" customHeight="1" x14ac:dyDescent="0.25">
      <c r="A527" s="240" t="s">
        <v>684</v>
      </c>
      <c r="B527" s="213" t="s">
        <v>458</v>
      </c>
      <c r="C527" s="237"/>
      <c r="D527" s="326">
        <f>241.6+22</f>
        <v>263.60000000000002</v>
      </c>
      <c r="E527" s="327">
        <v>236.1</v>
      </c>
      <c r="F527" s="107"/>
      <c r="G527" s="107"/>
    </row>
    <row r="528" spans="1:11" ht="12.75" customHeight="1" x14ac:dyDescent="0.25">
      <c r="A528" s="243" t="s">
        <v>685</v>
      </c>
      <c r="B528" s="213" t="s">
        <v>521</v>
      </c>
      <c r="C528" s="237"/>
      <c r="D528" s="326">
        <v>21</v>
      </c>
      <c r="E528" s="327">
        <v>20.7</v>
      </c>
      <c r="F528" s="107"/>
      <c r="G528" s="107"/>
    </row>
    <row r="529" spans="1:9" ht="12.75" customHeight="1" x14ac:dyDescent="0.25">
      <c r="A529" s="240" t="s">
        <v>686</v>
      </c>
      <c r="B529" s="213"/>
      <c r="C529" s="237" t="s">
        <v>112</v>
      </c>
      <c r="D529" s="326">
        <f>D531+D544+D545</f>
        <v>772.90000000000009</v>
      </c>
      <c r="E529" s="328">
        <f>E531+E544+E545</f>
        <v>704.59999999999991</v>
      </c>
      <c r="F529" s="115"/>
      <c r="G529" s="115"/>
    </row>
    <row r="530" spans="1:9" ht="12.75" customHeight="1" x14ac:dyDescent="0.25">
      <c r="A530" s="240"/>
      <c r="B530" s="176" t="s">
        <v>230</v>
      </c>
      <c r="C530" s="237"/>
      <c r="D530" s="326"/>
      <c r="E530" s="327"/>
      <c r="F530" s="107"/>
      <c r="G530" s="107"/>
    </row>
    <row r="531" spans="1:9" ht="12.75" customHeight="1" x14ac:dyDescent="0.25">
      <c r="A531" s="240" t="s">
        <v>687</v>
      </c>
      <c r="B531" s="213" t="s">
        <v>458</v>
      </c>
      <c r="C531" s="237"/>
      <c r="D531" s="326">
        <f>6.6+319.4+322.2+31.5</f>
        <v>679.7</v>
      </c>
      <c r="E531" s="327">
        <f>6+312.1+294.7</f>
        <v>612.79999999999995</v>
      </c>
      <c r="F531" s="112"/>
      <c r="G531" s="112"/>
      <c r="H531" s="295"/>
      <c r="I531" s="295"/>
    </row>
    <row r="532" spans="1:9" ht="12.75" customHeight="1" x14ac:dyDescent="0.25">
      <c r="A532" s="240"/>
      <c r="B532" s="176" t="s">
        <v>230</v>
      </c>
      <c r="C532" s="237"/>
      <c r="D532" s="326"/>
      <c r="E532" s="327"/>
      <c r="F532" s="107"/>
      <c r="G532" s="107"/>
    </row>
    <row r="533" spans="1:9" ht="12.75" customHeight="1" x14ac:dyDescent="0.25">
      <c r="A533" s="240" t="s">
        <v>688</v>
      </c>
      <c r="B533" s="176" t="s">
        <v>547</v>
      </c>
      <c r="C533" s="237"/>
      <c r="D533" s="326">
        <v>22.5</v>
      </c>
      <c r="E533" s="327">
        <v>20.6</v>
      </c>
      <c r="F533" s="112"/>
      <c r="G533" s="112"/>
    </row>
    <row r="534" spans="1:9" ht="12.75" customHeight="1" x14ac:dyDescent="0.25">
      <c r="A534" s="240" t="s">
        <v>689</v>
      </c>
      <c r="B534" s="176" t="s">
        <v>549</v>
      </c>
      <c r="C534" s="237"/>
      <c r="D534" s="326">
        <v>25.3</v>
      </c>
      <c r="E534" s="327">
        <v>23.3</v>
      </c>
      <c r="F534" s="107"/>
      <c r="G534" s="107"/>
    </row>
    <row r="535" spans="1:9" ht="12.75" customHeight="1" x14ac:dyDescent="0.25">
      <c r="A535" s="240" t="s">
        <v>690</v>
      </c>
      <c r="B535" s="176" t="s">
        <v>551</v>
      </c>
      <c r="C535" s="237"/>
      <c r="D535" s="326">
        <v>24.5</v>
      </c>
      <c r="E535" s="327">
        <v>22.5</v>
      </c>
      <c r="F535" s="107"/>
      <c r="G535" s="107"/>
    </row>
    <row r="536" spans="1:9" ht="12.75" customHeight="1" x14ac:dyDescent="0.25">
      <c r="A536" s="240" t="s">
        <v>691</v>
      </c>
      <c r="B536" s="176" t="s">
        <v>553</v>
      </c>
      <c r="C536" s="237"/>
      <c r="D536" s="326">
        <v>24.5</v>
      </c>
      <c r="E536" s="327">
        <v>22.5</v>
      </c>
      <c r="F536" s="107"/>
      <c r="G536" s="112"/>
      <c r="H536" s="112"/>
      <c r="I536" s="112"/>
    </row>
    <row r="537" spans="1:9" ht="12.75" customHeight="1" x14ac:dyDescent="0.25">
      <c r="A537" s="240" t="s">
        <v>692</v>
      </c>
      <c r="B537" s="176" t="s">
        <v>555</v>
      </c>
      <c r="C537" s="237"/>
      <c r="D537" s="326">
        <v>57.3</v>
      </c>
      <c r="E537" s="327">
        <v>54.7</v>
      </c>
      <c r="F537" s="107"/>
      <c r="G537" s="107"/>
    </row>
    <row r="538" spans="1:9" ht="12.75" customHeight="1" x14ac:dyDescent="0.25">
      <c r="A538" s="240" t="s">
        <v>693</v>
      </c>
      <c r="B538" s="176" t="s">
        <v>557</v>
      </c>
      <c r="C538" s="237"/>
      <c r="D538" s="326">
        <v>12.8</v>
      </c>
      <c r="E538" s="327">
        <v>11.3</v>
      </c>
      <c r="F538" s="107"/>
      <c r="G538" s="109"/>
      <c r="H538" s="109"/>
    </row>
    <row r="539" spans="1:9" ht="12.75" customHeight="1" x14ac:dyDescent="0.25">
      <c r="A539" s="240" t="s">
        <v>694</v>
      </c>
      <c r="B539" s="176" t="s">
        <v>559</v>
      </c>
      <c r="C539" s="237"/>
      <c r="D539" s="326">
        <v>24.5</v>
      </c>
      <c r="E539" s="327">
        <v>22.5</v>
      </c>
      <c r="F539" s="107"/>
      <c r="G539" s="107"/>
    </row>
    <row r="540" spans="1:9" ht="12.75" customHeight="1" x14ac:dyDescent="0.25">
      <c r="A540" s="240" t="s">
        <v>695</v>
      </c>
      <c r="B540" s="176" t="s">
        <v>536</v>
      </c>
      <c r="C540" s="237"/>
      <c r="D540" s="326">
        <v>55.7</v>
      </c>
      <c r="E540" s="327">
        <v>48.2</v>
      </c>
      <c r="F540" s="107"/>
      <c r="G540" s="107"/>
    </row>
    <row r="541" spans="1:9" ht="12.75" customHeight="1" x14ac:dyDescent="0.25">
      <c r="A541" s="240" t="s">
        <v>696</v>
      </c>
      <c r="B541" s="176" t="s">
        <v>562</v>
      </c>
      <c r="C541" s="237"/>
      <c r="D541" s="326">
        <v>25.3</v>
      </c>
      <c r="E541" s="327">
        <v>23.3</v>
      </c>
      <c r="F541" s="107"/>
      <c r="G541" s="107"/>
    </row>
    <row r="542" spans="1:9" ht="12.75" customHeight="1" x14ac:dyDescent="0.25">
      <c r="A542" s="240" t="s">
        <v>697</v>
      </c>
      <c r="B542" s="176" t="s">
        <v>564</v>
      </c>
      <c r="C542" s="237"/>
      <c r="D542" s="326">
        <v>24.5</v>
      </c>
      <c r="E542" s="327">
        <v>22.5</v>
      </c>
      <c r="F542" s="107"/>
      <c r="G542" s="107"/>
    </row>
    <row r="543" spans="1:9" ht="12.75" customHeight="1" x14ac:dyDescent="0.25">
      <c r="A543" s="240" t="s">
        <v>698</v>
      </c>
      <c r="B543" s="176" t="s">
        <v>566</v>
      </c>
      <c r="C543" s="237"/>
      <c r="D543" s="326">
        <v>25.3</v>
      </c>
      <c r="E543" s="327">
        <v>23.3</v>
      </c>
      <c r="F543" s="107"/>
      <c r="G543" s="112"/>
      <c r="H543" s="112"/>
      <c r="I543" s="112"/>
    </row>
    <row r="544" spans="1:9" ht="12.75" customHeight="1" x14ac:dyDescent="0.25">
      <c r="A544" s="240" t="s">
        <v>699</v>
      </c>
      <c r="B544" s="213" t="s">
        <v>521</v>
      </c>
      <c r="C544" s="237"/>
      <c r="D544" s="326">
        <f>27.2+6.9+27.1+31.5</f>
        <v>92.7</v>
      </c>
      <c r="E544" s="327">
        <f>26.8+6.8+26.7+31</f>
        <v>91.3</v>
      </c>
      <c r="F544" s="107"/>
      <c r="G544" s="107"/>
    </row>
    <row r="545" spans="1:12" ht="24" customHeight="1" x14ac:dyDescent="0.25">
      <c r="A545" s="240" t="s">
        <v>700</v>
      </c>
      <c r="B545" s="155" t="s">
        <v>701</v>
      </c>
      <c r="C545" s="237"/>
      <c r="D545" s="326">
        <v>0.5</v>
      </c>
      <c r="E545" s="327">
        <v>0.5</v>
      </c>
      <c r="F545" s="107"/>
      <c r="G545" s="107"/>
    </row>
    <row r="546" spans="1:12" ht="10.5" customHeight="1" x14ac:dyDescent="0.25">
      <c r="A546" s="451" t="s">
        <v>702</v>
      </c>
      <c r="B546" s="427" t="s">
        <v>891</v>
      </c>
      <c r="C546" s="237"/>
      <c r="D546" s="326">
        <v>6</v>
      </c>
      <c r="E546" s="327"/>
      <c r="F546" s="107"/>
      <c r="G546" s="107"/>
    </row>
    <row r="547" spans="1:12" ht="12.75" customHeight="1" thickBot="1" x14ac:dyDescent="0.3">
      <c r="A547" s="437" t="s">
        <v>890</v>
      </c>
      <c r="B547" s="247" t="s">
        <v>703</v>
      </c>
      <c r="C547" s="239" t="s">
        <v>394</v>
      </c>
      <c r="D547" s="326">
        <v>220</v>
      </c>
      <c r="E547" s="403"/>
      <c r="F547" s="107"/>
      <c r="G547" s="107"/>
    </row>
    <row r="548" spans="1:12" ht="12.75" customHeight="1" x14ac:dyDescent="0.25">
      <c r="A548" s="248" t="s">
        <v>704</v>
      </c>
      <c r="B548" s="249" t="s">
        <v>705</v>
      </c>
      <c r="C548" s="250"/>
      <c r="D548" s="404">
        <f>SUM(D8+D17+D27+D36+D45+D55+D64+D72+D81+D90+D99+D108+D120+D129+D138+D147+D156+D165+D174+D183+D192+D201+D210+D220+D227+D235+D244+D255+D263+D272+D280+D285+D294+D303+D311+D319+D327+D335+D343+D351+D359+D365+D369)</f>
        <v>90402.9</v>
      </c>
      <c r="E548" s="440">
        <f>SUM(E8+E17+E27+E36+E45+E55+E64+E72+E81+E90+E99+E108+E120+E129+E138+E147+E156+E165+E174+E183+E192+E201+E210+E220+E227+E235+E244+E255+E263+E272+E280+E285+E294+E303+E311+E319+E327+E335+E343+E351+E359+E365+E369)</f>
        <v>47840.200000000004</v>
      </c>
      <c r="F548" s="110"/>
      <c r="G548" s="116"/>
      <c r="H548" s="116"/>
      <c r="I548" s="116"/>
      <c r="J548" s="116"/>
      <c r="K548" s="116"/>
      <c r="L548" s="110"/>
    </row>
    <row r="549" spans="1:12" ht="12.75" customHeight="1" x14ac:dyDescent="0.25">
      <c r="A549" s="251"/>
      <c r="B549" s="252" t="s">
        <v>230</v>
      </c>
      <c r="C549" s="253"/>
      <c r="D549" s="405"/>
      <c r="E549" s="441"/>
      <c r="F549" s="107"/>
      <c r="G549" s="107"/>
    </row>
    <row r="550" spans="1:12" ht="12.75" customHeight="1" x14ac:dyDescent="0.25">
      <c r="A550" s="254" t="s">
        <v>706</v>
      </c>
      <c r="B550" s="442" t="s">
        <v>458</v>
      </c>
      <c r="C550" s="255"/>
      <c r="D550" s="326">
        <f>D11+D16+D20+D26+D30+D35+D39+D44+D48+D54+D58+D63+D67+D71+D75+D80+D84+D89+D93+D98+D102+D107+D111+D116+D119+D123+D128+D132+D137+D141+D146+D150+D155+D159+D164+D168+D173+D177+D182+D186+D191+D195+D200+D204+D209+D213+D218+D223+D226+D230+D234+D238+D243+D247+D254+D258+D262+D266+D271+D275+D279+D288+D293+D297+D302+D306+D310+D314+D318+D322+D326+D330+D334+D338+D342+D346+D350+D354+D358+D362+D368+D372+D378+D388+D409+D415+D416+D425+D438+D458+D466+D467+D472+D475+D507+D508+D511+D522+D523+D524+D525+D527+D531+D546+D547</f>
        <v>51792.999999999993</v>
      </c>
      <c r="E550" s="443">
        <f>E11+E16+E20+E26+E30+E35+E39+E44+E48+E54+E58+E63+E67+E71+E75+E80+E84+E89+E93+E98+E102+E107+E111+E116+E119+E123+E128+E132+E137+E141+E146+E150+E155+E159+E164+E168+E173+E177+E182+E186+E191+E195+E200+E204+E209+E213+E218+E223+E226+E230+E234+E238+E243+E247+E254+E258+E262+E266+E271+E275+E279+E288+E293+E297+E302+E306+E310+E314+E318+E322+E326+E330+E334+E338+E342+E346+E350+E354+E358+E362+E368+E372+E378+E388+E409+E415+E416+E425+E438+E458+E466+E467+E472+E475+E507+E508+E511+E522+E523+E524+E525+E527+E531+E547</f>
        <v>27452.099999999995</v>
      </c>
      <c r="F550" s="112"/>
      <c r="G550" s="117"/>
      <c r="H550" s="117"/>
      <c r="I550" s="117"/>
      <c r="J550" s="117"/>
      <c r="K550" s="117"/>
      <c r="L550" s="295"/>
    </row>
    <row r="551" spans="1:12" ht="13.2" customHeight="1" x14ac:dyDescent="0.25">
      <c r="A551" s="254" t="s">
        <v>707</v>
      </c>
      <c r="B551" s="421" t="s">
        <v>236</v>
      </c>
      <c r="C551" s="255"/>
      <c r="D551" s="328">
        <f>SUM(D12+D21+D31+D40+D49+D59+D68+D76+D85+D94+D103+D112+D124+D133+D142+D151+D160+D169+D178+D187+D196+D205+D224+D373)</f>
        <v>17270.800000000003</v>
      </c>
      <c r="E551" s="443">
        <f>SUM(E12+E21+E31+E40+E49+E59+E68+E76+E85+E94+E103+E112+E124+E133+E142+E151+E160+E169+E178+E187+E196+E205+E224+E373)</f>
        <v>15941.6</v>
      </c>
      <c r="F551" s="112"/>
      <c r="G551" s="117"/>
      <c r="H551" s="117"/>
      <c r="I551" s="117"/>
      <c r="J551" s="117"/>
      <c r="K551" s="300"/>
    </row>
    <row r="552" spans="1:12" ht="12.75" customHeight="1" x14ac:dyDescent="0.25">
      <c r="A552" s="254" t="s">
        <v>708</v>
      </c>
      <c r="B552" s="442" t="s">
        <v>423</v>
      </c>
      <c r="C552" s="255"/>
      <c r="D552" s="326">
        <f>D248+D267+D363+D383+D417+D488+D506+D512+D528+D544</f>
        <v>4928.3</v>
      </c>
      <c r="E552" s="443">
        <f>E248+E267+E363+E383+E417+E488+E506+E512+E528+E544</f>
        <v>2316.9</v>
      </c>
      <c r="F552" s="112"/>
      <c r="G552" s="112"/>
      <c r="H552" s="295"/>
      <c r="I552" s="295"/>
      <c r="J552" s="295"/>
      <c r="K552" s="295"/>
    </row>
    <row r="553" spans="1:12" ht="15" customHeight="1" x14ac:dyDescent="0.25">
      <c r="A553" s="256" t="s">
        <v>709</v>
      </c>
      <c r="B553" s="411" t="s">
        <v>710</v>
      </c>
      <c r="C553" s="255"/>
      <c r="D553" s="326">
        <f>D283</f>
        <v>294.7</v>
      </c>
      <c r="E553" s="443">
        <f>E283</f>
        <v>271.2</v>
      </c>
      <c r="F553" s="112"/>
      <c r="G553" s="112"/>
    </row>
    <row r="554" spans="1:12" ht="23.4" customHeight="1" x14ac:dyDescent="0.25">
      <c r="A554" s="256" t="s">
        <v>711</v>
      </c>
      <c r="B554" s="411" t="s">
        <v>244</v>
      </c>
      <c r="C554" s="255"/>
      <c r="D554" s="326">
        <f>D22+D50</f>
        <v>94.8</v>
      </c>
      <c r="E554" s="443">
        <f>E22+E50</f>
        <v>93.5</v>
      </c>
      <c r="F554" s="112"/>
      <c r="G554" s="112"/>
      <c r="H554" s="118"/>
      <c r="I554" s="118"/>
      <c r="J554" s="297"/>
    </row>
    <row r="555" spans="1:12" ht="23.4" customHeight="1" x14ac:dyDescent="0.25">
      <c r="A555" s="256" t="s">
        <v>712</v>
      </c>
      <c r="B555" s="444" t="s">
        <v>713</v>
      </c>
      <c r="C555" s="255"/>
      <c r="D555" s="326">
        <f>D374</f>
        <v>269.89999999999998</v>
      </c>
      <c r="E555" s="443">
        <f>E374</f>
        <v>8</v>
      </c>
      <c r="F555" s="112"/>
      <c r="G555" s="112"/>
      <c r="H555" s="118"/>
      <c r="I555" s="118"/>
    </row>
    <row r="556" spans="1:12" ht="36" customHeight="1" x14ac:dyDescent="0.25">
      <c r="A556" s="256" t="s">
        <v>714</v>
      </c>
      <c r="B556" s="165" t="s">
        <v>617</v>
      </c>
      <c r="C556" s="255"/>
      <c r="D556" s="326">
        <f>D451</f>
        <v>3427.8</v>
      </c>
      <c r="E556" s="443"/>
      <c r="F556" s="115"/>
      <c r="G556" s="115"/>
      <c r="H556" s="118"/>
      <c r="I556" s="118"/>
    </row>
    <row r="557" spans="1:12" ht="33.75" customHeight="1" x14ac:dyDescent="0.25">
      <c r="A557" s="256" t="s">
        <v>715</v>
      </c>
      <c r="B557" s="411" t="s">
        <v>716</v>
      </c>
      <c r="C557" s="255"/>
      <c r="D557" s="326">
        <f>D406</f>
        <v>13.9</v>
      </c>
      <c r="E557" s="443"/>
      <c r="F557" s="115"/>
      <c r="G557" s="115"/>
      <c r="H557" s="118"/>
      <c r="I557" s="118"/>
    </row>
    <row r="558" spans="1:12" ht="12.75" customHeight="1" x14ac:dyDescent="0.25">
      <c r="A558" s="254" t="s">
        <v>717</v>
      </c>
      <c r="B558" s="442" t="s">
        <v>240</v>
      </c>
      <c r="C558" s="255"/>
      <c r="D558" s="326">
        <f>SUM(D14+D24+D33+D42+D52+D61+D69+D78+D87+D96+D105+D114+D126+D135+D144+D153+D162+D171+D180+D189+D197+D206+D214+D232+D241+D250+D260+D269+D277+D284+D291+D299+D308+D316+D324+D332+D340+D348+D356+D364+D401+D418+D454+D498)</f>
        <v>3278.6000000000004</v>
      </c>
      <c r="E558" s="443">
        <f>SUM(E14+E24+E33+E42+E52+E61+E69+E78+E87+E96+E105+E114+E126+E135+E144+E153+E162+E171+E180+E189+E197+E206+E214+E232+E241+E250+E260+E269+E277+E284+E291+E299+E308+E316+E324+E332+E340+E348+E356+E364+E401+E418+E454+E498)</f>
        <v>1338.7</v>
      </c>
      <c r="F558" s="112"/>
      <c r="G558" s="112"/>
      <c r="H558" s="108"/>
      <c r="I558" s="108"/>
    </row>
    <row r="559" spans="1:12" ht="14.25" customHeight="1" x14ac:dyDescent="0.25">
      <c r="A559" s="256" t="s">
        <v>718</v>
      </c>
      <c r="B559" s="445" t="s">
        <v>544</v>
      </c>
      <c r="C559" s="255"/>
      <c r="D559" s="326">
        <f>D216+D252+D387+D410</f>
        <v>340</v>
      </c>
      <c r="E559" s="443"/>
      <c r="F559" s="115"/>
      <c r="G559" s="115"/>
    </row>
    <row r="560" spans="1:12" ht="12" customHeight="1" x14ac:dyDescent="0.25">
      <c r="A560" s="257" t="s">
        <v>719</v>
      </c>
      <c r="B560" s="213" t="s">
        <v>573</v>
      </c>
      <c r="C560" s="255"/>
      <c r="D560" s="326">
        <f>D455+D521</f>
        <v>140</v>
      </c>
      <c r="E560" s="443"/>
      <c r="F560" s="115"/>
      <c r="G560" s="115"/>
    </row>
    <row r="561" spans="1:13" ht="35.4" customHeight="1" x14ac:dyDescent="0.25">
      <c r="A561" s="256" t="s">
        <v>720</v>
      </c>
      <c r="B561" s="165" t="s">
        <v>721</v>
      </c>
      <c r="C561" s="258"/>
      <c r="D561" s="326">
        <f>D239+D251+D300+D375+D384+D404+D411+D419+D452+D453+D462</f>
        <v>3571.8</v>
      </c>
      <c r="E561" s="443">
        <f>E239+E251+E300+E375+E384+E404+E411+E419+E452+E453+E462</f>
        <v>94.399999999999991</v>
      </c>
      <c r="F561" s="115"/>
      <c r="G561" s="115"/>
    </row>
    <row r="562" spans="1:13" ht="24.75" customHeight="1" x14ac:dyDescent="0.25">
      <c r="A562" s="256" t="s">
        <v>722</v>
      </c>
      <c r="B562" s="165" t="s">
        <v>571</v>
      </c>
      <c r="C562" s="258"/>
      <c r="D562" s="330">
        <f>D405</f>
        <v>2500</v>
      </c>
      <c r="E562" s="443"/>
      <c r="F562" s="109"/>
      <c r="G562" s="109"/>
    </row>
    <row r="563" spans="1:13" ht="10.199999999999999" customHeight="1" x14ac:dyDescent="0.25">
      <c r="A563" s="256" t="s">
        <v>723</v>
      </c>
      <c r="B563" s="165" t="s">
        <v>860</v>
      </c>
      <c r="C563" s="258"/>
      <c r="D563" s="330">
        <f>D407</f>
        <v>47.1</v>
      </c>
      <c r="E563" s="443"/>
      <c r="F563" s="109"/>
      <c r="G563" s="109"/>
    </row>
    <row r="564" spans="1:13" ht="26.4" customHeight="1" x14ac:dyDescent="0.25">
      <c r="A564" s="256" t="s">
        <v>724</v>
      </c>
      <c r="B564" s="155" t="s">
        <v>701</v>
      </c>
      <c r="C564" s="258"/>
      <c r="D564" s="330">
        <f>D421+D545</f>
        <v>34.200000000000003</v>
      </c>
      <c r="E564" s="446">
        <f>E421+E545</f>
        <v>30</v>
      </c>
      <c r="F564" s="109"/>
      <c r="G564" s="109"/>
    </row>
    <row r="565" spans="1:13" ht="24" x14ac:dyDescent="0.25">
      <c r="A565" s="439" t="s">
        <v>868</v>
      </c>
      <c r="B565" s="421" t="s">
        <v>865</v>
      </c>
      <c r="C565" s="258"/>
      <c r="D565" s="328">
        <f>D290</f>
        <v>77.7</v>
      </c>
      <c r="E565" s="443"/>
      <c r="F565" s="109"/>
      <c r="G565" s="109"/>
    </row>
    <row r="566" spans="1:13" ht="25.2" customHeight="1" x14ac:dyDescent="0.25">
      <c r="A566" s="439" t="s">
        <v>869</v>
      </c>
      <c r="B566" s="421" t="s">
        <v>56</v>
      </c>
      <c r="C566" s="258"/>
      <c r="D566" s="328">
        <f>D376+D463</f>
        <v>1732</v>
      </c>
      <c r="E566" s="443"/>
      <c r="F566" s="109"/>
      <c r="G566" s="106"/>
      <c r="H566" s="106"/>
      <c r="I566" s="106"/>
      <c r="J566" s="106"/>
    </row>
    <row r="567" spans="1:13" ht="13.95" customHeight="1" x14ac:dyDescent="0.25">
      <c r="A567" s="439" t="s">
        <v>725</v>
      </c>
      <c r="B567" s="421" t="s">
        <v>250</v>
      </c>
      <c r="C567" s="258"/>
      <c r="D567" s="328">
        <f>D13+D23+D117+D32+D41+D51+D60+D77+D86+D95+D104+D113+D125+D134+D143+D152+D161+D170+D179+D188+D198+D207+D219+D231+D240+D249+D259+D268+D276+D289+D298+D307+D315+D323+D331+D339+D347+D355</f>
        <v>296</v>
      </c>
      <c r="E567" s="443">
        <f>E13+E23+E117+E32+E41+E51+E60+E77+E86+E95+E104+E113+E125+E134+E143+E152+E161+E170+E179+E188+E198+E207+E219+E231+E240+E249+E259+E268+E276+E289+E298+E307+E315+E323+E331+E339+E347+E355</f>
        <v>293</v>
      </c>
      <c r="F567" s="109"/>
      <c r="G567" s="106"/>
      <c r="H567" s="106"/>
      <c r="I567" s="106"/>
      <c r="J567" s="106"/>
    </row>
    <row r="568" spans="1:13" ht="36.6" customHeight="1" x14ac:dyDescent="0.25">
      <c r="A568" s="439" t="s">
        <v>883</v>
      </c>
      <c r="B568" s="193" t="s">
        <v>876</v>
      </c>
      <c r="C568" s="258"/>
      <c r="D568" s="328">
        <f>D412</f>
        <v>124</v>
      </c>
      <c r="E568" s="443"/>
      <c r="F568" s="109"/>
      <c r="G568" s="106"/>
      <c r="H568" s="106"/>
      <c r="I568" s="106"/>
      <c r="J568" s="106"/>
    </row>
    <row r="569" spans="1:13" ht="33" customHeight="1" x14ac:dyDescent="0.25">
      <c r="A569" s="439" t="s">
        <v>884</v>
      </c>
      <c r="B569" s="151" t="s">
        <v>862</v>
      </c>
      <c r="C569" s="258"/>
      <c r="D569" s="328">
        <f>D420</f>
        <v>125.3</v>
      </c>
      <c r="E569" s="443"/>
      <c r="F569" s="109"/>
      <c r="G569" s="106"/>
      <c r="H569" s="106"/>
      <c r="I569" s="106"/>
      <c r="J569" s="106"/>
    </row>
    <row r="570" spans="1:13" ht="25.8" customHeight="1" thickBot="1" x14ac:dyDescent="0.3">
      <c r="A570" s="458" t="s">
        <v>885</v>
      </c>
      <c r="B570" s="480" t="s">
        <v>588</v>
      </c>
      <c r="C570" s="447"/>
      <c r="D570" s="448">
        <f>D422</f>
        <v>43</v>
      </c>
      <c r="E570" s="449">
        <f>E422</f>
        <v>0.8</v>
      </c>
      <c r="F570" s="109"/>
      <c r="G570" s="106"/>
      <c r="H570" s="106"/>
      <c r="I570" s="106"/>
      <c r="J570" s="106"/>
    </row>
    <row r="571" spans="1:13" x14ac:dyDescent="0.25">
      <c r="A571" s="184"/>
      <c r="B571" s="259" t="s">
        <v>230</v>
      </c>
      <c r="C571" s="258"/>
      <c r="D571" s="465"/>
      <c r="E571" s="465"/>
      <c r="F571" s="107"/>
      <c r="G571" s="112">
        <f>D572+D582+D591+D602+D611+D625+D634+D642+D648</f>
        <v>90402.900000000009</v>
      </c>
      <c r="H571" s="112">
        <f>E572+E582+E591+E602+E611+E625+E634+E642+E648</f>
        <v>47840.2</v>
      </c>
      <c r="I571" s="112"/>
      <c r="J571" s="112"/>
      <c r="K571" s="295"/>
    </row>
    <row r="572" spans="1:13" x14ac:dyDescent="0.25">
      <c r="A572" s="184" t="s">
        <v>726</v>
      </c>
      <c r="B572" s="260" t="s">
        <v>231</v>
      </c>
      <c r="C572" s="169" t="s">
        <v>232</v>
      </c>
      <c r="D572" s="391">
        <f>SUM(D574:D581)</f>
        <v>38526.800000000003</v>
      </c>
      <c r="E572" s="391">
        <f>SUM(E574:E581)</f>
        <v>29195.699999999997</v>
      </c>
      <c r="F572" s="111"/>
      <c r="G572" s="119"/>
      <c r="H572" s="111"/>
      <c r="I572" s="111"/>
      <c r="J572" s="119"/>
      <c r="K572" s="119"/>
      <c r="L572" s="298"/>
    </row>
    <row r="573" spans="1:13" x14ac:dyDescent="0.25">
      <c r="A573" s="184"/>
      <c r="B573" s="259" t="s">
        <v>542</v>
      </c>
      <c r="C573" s="184"/>
      <c r="D573" s="391"/>
      <c r="E573" s="328"/>
      <c r="F573" s="107"/>
      <c r="G573" s="107"/>
    </row>
    <row r="574" spans="1:13" ht="12.75" customHeight="1" x14ac:dyDescent="0.25">
      <c r="A574" s="184" t="s">
        <v>727</v>
      </c>
      <c r="B574" s="163" t="s">
        <v>458</v>
      </c>
      <c r="C574" s="184"/>
      <c r="D574" s="328">
        <f>SUM(D11+D20+D30+D39+D48+D58+D67+D75+D84+D93+D102+D111+D123+D132+D141+D150+D159+D168+D177+D186+D195+D204+D213+D223+D372)</f>
        <v>17620.599999999999</v>
      </c>
      <c r="E574" s="328">
        <f>SUM(E11+E20+E30+E39+E48+E58+E67+E75+E84+E93+E102+E111+E123+E132+E141+E150+E159+E168+E177+E186+E195+E204+E213+E223+E372)</f>
        <v>12662.499999999998</v>
      </c>
      <c r="F574" s="112"/>
      <c r="G574" s="112"/>
      <c r="H574" s="297"/>
      <c r="I574" s="297"/>
      <c r="M574" s="295"/>
    </row>
    <row r="575" spans="1:13" x14ac:dyDescent="0.25">
      <c r="A575" s="166" t="s">
        <v>728</v>
      </c>
      <c r="B575" s="165" t="s">
        <v>236</v>
      </c>
      <c r="C575" s="240"/>
      <c r="D575" s="328">
        <f>D12+D21+D31+D40+D49+D59+D68+D76+D85+D94+D103+D112+D124+D133+D142+D151+D160+D169+D178+D187+D196+D205+D224+D373</f>
        <v>17270.800000000003</v>
      </c>
      <c r="E575" s="328">
        <f>E12+E21+E31+E40+E49+E59+E68+E76+E85+E94+E103+E112+E124+E133+E142+E151+E160+E169+E178+E187+E196+E205+E224+E373</f>
        <v>15941.6</v>
      </c>
      <c r="F575" s="112"/>
      <c r="G575" s="112"/>
    </row>
    <row r="576" spans="1:13" ht="24" x14ac:dyDescent="0.25">
      <c r="A576" s="166" t="s">
        <v>729</v>
      </c>
      <c r="B576" s="207" t="s">
        <v>244</v>
      </c>
      <c r="C576" s="240"/>
      <c r="D576" s="328">
        <f>D22+D50</f>
        <v>94.8</v>
      </c>
      <c r="E576" s="328">
        <f>E22+E50</f>
        <v>93.5</v>
      </c>
      <c r="F576" s="112"/>
      <c r="G576" s="112"/>
      <c r="H576" s="297"/>
      <c r="I576" s="297"/>
    </row>
    <row r="577" spans="1:12" x14ac:dyDescent="0.25">
      <c r="A577" s="166"/>
      <c r="B577" s="207" t="s">
        <v>250</v>
      </c>
      <c r="C577" s="240"/>
      <c r="D577" s="328">
        <f>D13+D23+D32+D41+D51+D60+D77+D86+D95+D104+D113+D125+D134+D143+D152+D161+D170+D179+D188+D198+D207</f>
        <v>239.50000000000003</v>
      </c>
      <c r="E577" s="328">
        <f>E13+E23+E32+E41+E51+E60+E77+E86+E95+E104+E113+E125+E134+E143+E152+E161+E170+E179+E188+E198+E207</f>
        <v>236.5</v>
      </c>
      <c r="F577" s="112"/>
      <c r="G577" s="112"/>
    </row>
    <row r="578" spans="1:12" ht="24" x14ac:dyDescent="0.25">
      <c r="A578" s="166" t="s">
        <v>730</v>
      </c>
      <c r="B578" s="207" t="s">
        <v>713</v>
      </c>
      <c r="C578" s="240"/>
      <c r="D578" s="328">
        <f>D374</f>
        <v>269.89999999999998</v>
      </c>
      <c r="E578" s="328">
        <f>E374</f>
        <v>8</v>
      </c>
      <c r="F578" s="115"/>
      <c r="G578" s="115"/>
    </row>
    <row r="579" spans="1:12" x14ac:dyDescent="0.25">
      <c r="A579" s="184" t="s">
        <v>731</v>
      </c>
      <c r="B579" s="163" t="s">
        <v>240</v>
      </c>
      <c r="C579" s="236"/>
      <c r="D579" s="328">
        <f>SUM(D14+D24+D33+D42+D52+D61+D69+D78+D87+D96+D105+D114+D126+D135+D144+D153+D162+D171+D180+D189+D197+D206+D214)</f>
        <v>1464.0000000000002</v>
      </c>
      <c r="E579" s="328">
        <f>SUM(E14+E24+E33+E42+E52+E61+E69+E78+E87+E96+E105+E114+E126+E135+E144+E153+E162+E171+E180+E189+E197+E206+E214)</f>
        <v>250.5</v>
      </c>
      <c r="F579" s="112"/>
      <c r="G579" s="112"/>
      <c r="H579" s="297"/>
      <c r="I579" s="297"/>
      <c r="L579" s="107"/>
    </row>
    <row r="580" spans="1:12" ht="36" x14ac:dyDescent="0.25">
      <c r="A580" s="166" t="s">
        <v>732</v>
      </c>
      <c r="B580" s="207" t="s">
        <v>473</v>
      </c>
      <c r="C580" s="236"/>
      <c r="D580" s="328">
        <f>D375</f>
        <v>792.2</v>
      </c>
      <c r="E580" s="328">
        <f>E375</f>
        <v>3.1</v>
      </c>
      <c r="F580" s="115"/>
      <c r="G580" s="115"/>
      <c r="H580" s="301"/>
      <c r="I580" s="301"/>
    </row>
    <row r="581" spans="1:12" ht="23.25" customHeight="1" x14ac:dyDescent="0.25">
      <c r="A581" s="166" t="s">
        <v>733</v>
      </c>
      <c r="B581" s="193" t="s">
        <v>56</v>
      </c>
      <c r="C581" s="261"/>
      <c r="D581" s="326">
        <f>D376</f>
        <v>775</v>
      </c>
      <c r="E581" s="328"/>
      <c r="F581" s="113"/>
      <c r="G581" s="113"/>
      <c r="H581" s="301"/>
      <c r="I581" s="301"/>
    </row>
    <row r="582" spans="1:12" ht="21.75" customHeight="1" x14ac:dyDescent="0.25">
      <c r="A582" s="166" t="s">
        <v>734</v>
      </c>
      <c r="B582" s="262" t="s">
        <v>409</v>
      </c>
      <c r="C582" s="204"/>
      <c r="D582" s="384">
        <f>D584</f>
        <v>2149.4</v>
      </c>
      <c r="E582" s="391">
        <f>E584</f>
        <v>100.6</v>
      </c>
      <c r="F582" s="112"/>
      <c r="H582" s="117"/>
      <c r="I582" s="117"/>
      <c r="J582" s="117"/>
      <c r="K582" s="300"/>
      <c r="L582" s="295"/>
    </row>
    <row r="583" spans="1:12" x14ac:dyDescent="0.25">
      <c r="A583" s="184"/>
      <c r="B583" s="156" t="s">
        <v>542</v>
      </c>
      <c r="C583" s="169"/>
      <c r="D583" s="329"/>
      <c r="E583" s="328"/>
      <c r="F583" s="107"/>
      <c r="G583" s="107"/>
    </row>
    <row r="584" spans="1:12" x14ac:dyDescent="0.25">
      <c r="A584" s="184" t="s">
        <v>735</v>
      </c>
      <c r="B584" s="262"/>
      <c r="C584" s="156" t="s">
        <v>410</v>
      </c>
      <c r="D584" s="329">
        <f>SUM(D586:D590)</f>
        <v>2149.4</v>
      </c>
      <c r="E584" s="328">
        <f>SUM(E586:E590)</f>
        <v>100.6</v>
      </c>
      <c r="F584" s="107"/>
      <c r="G584" s="117"/>
      <c r="H584" s="117"/>
      <c r="I584" s="117"/>
      <c r="J584" s="117"/>
    </row>
    <row r="585" spans="1:12" ht="12.75" customHeight="1" x14ac:dyDescent="0.25">
      <c r="A585" s="184"/>
      <c r="B585" s="156" t="s">
        <v>230</v>
      </c>
      <c r="C585" s="169"/>
      <c r="D585" s="329"/>
      <c r="E585" s="328"/>
      <c r="F585" s="107"/>
      <c r="G585" s="107"/>
    </row>
    <row r="586" spans="1:12" ht="12.75" customHeight="1" x14ac:dyDescent="0.25">
      <c r="A586" s="184" t="s">
        <v>736</v>
      </c>
      <c r="B586" s="163" t="s">
        <v>458</v>
      </c>
      <c r="C586" s="169"/>
      <c r="D586" s="329">
        <f>D238+D378</f>
        <v>1310.9</v>
      </c>
      <c r="E586" s="328">
        <f>E238+E378</f>
        <v>87</v>
      </c>
      <c r="F586" s="109"/>
      <c r="G586" s="109"/>
    </row>
    <row r="587" spans="1:12" ht="12.75" customHeight="1" x14ac:dyDescent="0.25">
      <c r="A587" s="184" t="s">
        <v>737</v>
      </c>
      <c r="B587" s="163" t="s">
        <v>240</v>
      </c>
      <c r="C587" s="169"/>
      <c r="D587" s="329">
        <f>SUM(D241)</f>
        <v>100</v>
      </c>
      <c r="E587" s="328">
        <f>SUM(E241)</f>
        <v>5</v>
      </c>
      <c r="F587" s="109"/>
      <c r="G587" s="109"/>
    </row>
    <row r="588" spans="1:12" ht="12.75" customHeight="1" x14ac:dyDescent="0.25">
      <c r="A588" s="184" t="s">
        <v>738</v>
      </c>
      <c r="B588" s="193" t="s">
        <v>521</v>
      </c>
      <c r="C588" s="169"/>
      <c r="D588" s="329">
        <f>D383</f>
        <v>455</v>
      </c>
      <c r="E588" s="328"/>
      <c r="F588" s="107"/>
      <c r="G588" s="107"/>
    </row>
    <row r="589" spans="1:12" ht="23.4" customHeight="1" x14ac:dyDescent="0.25">
      <c r="A589" s="166" t="s">
        <v>739</v>
      </c>
      <c r="B589" s="207" t="s">
        <v>473</v>
      </c>
      <c r="C589" s="169"/>
      <c r="D589" s="329">
        <f>D239+D384</f>
        <v>280.5</v>
      </c>
      <c r="E589" s="328">
        <f>E239+E384</f>
        <v>5.6</v>
      </c>
      <c r="F589" s="107"/>
      <c r="G589" s="107"/>
    </row>
    <row r="590" spans="1:12" ht="12" customHeight="1" x14ac:dyDescent="0.25">
      <c r="A590" s="166" t="s">
        <v>740</v>
      </c>
      <c r="B590" s="421" t="s">
        <v>250</v>
      </c>
      <c r="C590" s="169"/>
      <c r="D590" s="329">
        <f>D240</f>
        <v>3</v>
      </c>
      <c r="E590" s="328">
        <f>E240</f>
        <v>3</v>
      </c>
      <c r="F590" s="107"/>
      <c r="G590" s="107"/>
    </row>
    <row r="591" spans="1:12" ht="12.75" customHeight="1" x14ac:dyDescent="0.25">
      <c r="A591" s="184" t="s">
        <v>741</v>
      </c>
      <c r="B591" s="161" t="s">
        <v>540</v>
      </c>
      <c r="C591" s="233"/>
      <c r="D591" s="391">
        <f>D593</f>
        <v>6652.7000000000007</v>
      </c>
      <c r="E591" s="391">
        <f>E593</f>
        <v>863.7</v>
      </c>
      <c r="F591" s="114"/>
      <c r="G591" s="120"/>
      <c r="H591" s="120"/>
      <c r="I591" s="120"/>
      <c r="J591" s="120"/>
      <c r="K591" s="295"/>
      <c r="L591" s="295"/>
    </row>
    <row r="592" spans="1:12" ht="12.75" customHeight="1" x14ac:dyDescent="0.25">
      <c r="A592" s="184"/>
      <c r="B592" s="156" t="s">
        <v>542</v>
      </c>
      <c r="C592" s="233"/>
      <c r="D592" s="391"/>
      <c r="E592" s="328"/>
      <c r="F592" s="113"/>
      <c r="G592" s="113"/>
      <c r="H592" s="301"/>
      <c r="I592" s="301"/>
    </row>
    <row r="593" spans="1:12" ht="12.75" customHeight="1" x14ac:dyDescent="0.25">
      <c r="A593" s="184" t="s">
        <v>742</v>
      </c>
      <c r="B593" s="161"/>
      <c r="C593" s="233" t="s">
        <v>541</v>
      </c>
      <c r="D593" s="328">
        <f>SUM(D595:D601)</f>
        <v>6652.7000000000007</v>
      </c>
      <c r="E593" s="328">
        <f>SUM(E595:E601)</f>
        <v>863.7</v>
      </c>
      <c r="F593" s="115"/>
      <c r="G593" s="115"/>
      <c r="H593" s="115"/>
      <c r="I593" s="115"/>
      <c r="J593" s="115"/>
      <c r="K593" s="295"/>
    </row>
    <row r="594" spans="1:12" ht="12.75" customHeight="1" x14ac:dyDescent="0.25">
      <c r="A594" s="184"/>
      <c r="B594" s="156" t="s">
        <v>230</v>
      </c>
      <c r="C594" s="233"/>
      <c r="D594" s="328"/>
      <c r="E594" s="328"/>
      <c r="F594" s="113"/>
      <c r="G594" s="113"/>
      <c r="H594" s="301"/>
      <c r="I594" s="301"/>
    </row>
    <row r="595" spans="1:12" ht="12.75" customHeight="1" x14ac:dyDescent="0.25">
      <c r="A595" s="184" t="s">
        <v>743</v>
      </c>
      <c r="B595" s="163" t="s">
        <v>744</v>
      </c>
      <c r="C595" s="184"/>
      <c r="D595" s="328">
        <f>D388</f>
        <v>3585.8</v>
      </c>
      <c r="E595" s="328">
        <f>E388</f>
        <v>863.7</v>
      </c>
      <c r="F595" s="115"/>
      <c r="G595" s="115"/>
      <c r="H595" s="301"/>
      <c r="I595" s="301"/>
    </row>
    <row r="596" spans="1:12" x14ac:dyDescent="0.25">
      <c r="A596" s="184" t="s">
        <v>745</v>
      </c>
      <c r="B596" s="163" t="s">
        <v>240</v>
      </c>
      <c r="C596" s="184"/>
      <c r="D596" s="328">
        <f>SUM(D401)</f>
        <v>10</v>
      </c>
      <c r="E596" s="328">
        <f>SUM(E401)</f>
        <v>0</v>
      </c>
      <c r="F596" s="115"/>
      <c r="G596" s="115"/>
    </row>
    <row r="597" spans="1:12" x14ac:dyDescent="0.25">
      <c r="A597" s="166" t="s">
        <v>746</v>
      </c>
      <c r="B597" s="193" t="s">
        <v>544</v>
      </c>
      <c r="C597" s="184"/>
      <c r="D597" s="328">
        <f>D387</f>
        <v>280</v>
      </c>
      <c r="E597" s="328"/>
      <c r="F597" s="115"/>
      <c r="G597" s="115"/>
    </row>
    <row r="598" spans="1:12" ht="38.4" customHeight="1" x14ac:dyDescent="0.25">
      <c r="A598" s="166" t="s">
        <v>747</v>
      </c>
      <c r="B598" s="165" t="s">
        <v>716</v>
      </c>
      <c r="C598" s="173"/>
      <c r="D598" s="328">
        <f>D406</f>
        <v>13.9</v>
      </c>
      <c r="E598" s="328"/>
      <c r="F598" s="115"/>
      <c r="G598" s="115"/>
    </row>
    <row r="599" spans="1:12" ht="24.6" customHeight="1" x14ac:dyDescent="0.25">
      <c r="A599" s="166" t="s">
        <v>748</v>
      </c>
      <c r="B599" s="165" t="s">
        <v>473</v>
      </c>
      <c r="C599" s="173"/>
      <c r="D599" s="328">
        <f>D404</f>
        <v>215.9</v>
      </c>
      <c r="E599" s="328">
        <f>E404</f>
        <v>0</v>
      </c>
      <c r="F599" s="115"/>
      <c r="G599" s="115"/>
    </row>
    <row r="600" spans="1:12" ht="24" customHeight="1" x14ac:dyDescent="0.25">
      <c r="A600" s="166" t="s">
        <v>749</v>
      </c>
      <c r="B600" s="165" t="s">
        <v>571</v>
      </c>
      <c r="C600" s="173"/>
      <c r="D600" s="328">
        <f>D405</f>
        <v>2500</v>
      </c>
      <c r="E600" s="328"/>
      <c r="F600" s="115"/>
      <c r="G600" s="115"/>
    </row>
    <row r="601" spans="1:12" ht="24.75" customHeight="1" x14ac:dyDescent="0.25">
      <c r="A601" s="166" t="s">
        <v>750</v>
      </c>
      <c r="B601" s="421" t="s">
        <v>42</v>
      </c>
      <c r="C601" s="173"/>
      <c r="D601" s="328">
        <f>D407</f>
        <v>47.1</v>
      </c>
      <c r="E601" s="328"/>
      <c r="F601" s="115"/>
      <c r="G601" s="115"/>
    </row>
    <row r="602" spans="1:12" x14ac:dyDescent="0.25">
      <c r="A602" s="184" t="s">
        <v>751</v>
      </c>
      <c r="B602" s="192" t="s">
        <v>390</v>
      </c>
      <c r="C602" s="235" t="s">
        <v>420</v>
      </c>
      <c r="D602" s="384">
        <f>SUM(D604:D610)</f>
        <v>1648</v>
      </c>
      <c r="E602" s="391">
        <f>SUM(E604:E610)</f>
        <v>887.09999999999991</v>
      </c>
      <c r="F602" s="112"/>
      <c r="G602" s="117"/>
      <c r="H602" s="117"/>
      <c r="I602" s="117"/>
      <c r="J602" s="117"/>
      <c r="K602" s="112"/>
      <c r="L602" s="295"/>
    </row>
    <row r="603" spans="1:12" ht="12.75" customHeight="1" x14ac:dyDescent="0.25">
      <c r="A603" s="184"/>
      <c r="B603" s="156" t="s">
        <v>230</v>
      </c>
      <c r="C603" s="235"/>
      <c r="D603" s="329"/>
      <c r="E603" s="328"/>
      <c r="F603" s="113"/>
      <c r="G603" s="113"/>
      <c r="I603" s="301"/>
    </row>
    <row r="604" spans="1:12" ht="12.75" customHeight="1" x14ac:dyDescent="0.25">
      <c r="A604" s="184" t="s">
        <v>752</v>
      </c>
      <c r="B604" s="163" t="s">
        <v>458</v>
      </c>
      <c r="C604" s="235"/>
      <c r="D604" s="329">
        <f>D247+D409</f>
        <v>440.5</v>
      </c>
      <c r="E604" s="328">
        <f>E247+E409</f>
        <v>265.89999999999998</v>
      </c>
      <c r="F604" s="107"/>
      <c r="G604" s="107"/>
      <c r="H604" s="295"/>
      <c r="I604" s="295"/>
    </row>
    <row r="605" spans="1:12" x14ac:dyDescent="0.25">
      <c r="A605" s="154" t="s">
        <v>753</v>
      </c>
      <c r="B605" s="213" t="s">
        <v>423</v>
      </c>
      <c r="C605" s="235"/>
      <c r="D605" s="329">
        <f>D248</f>
        <v>667.5</v>
      </c>
      <c r="E605" s="328">
        <f>E248</f>
        <v>551</v>
      </c>
      <c r="F605" s="109"/>
      <c r="G605" s="109"/>
    </row>
    <row r="606" spans="1:12" x14ac:dyDescent="0.25">
      <c r="A606" s="154" t="s">
        <v>754</v>
      </c>
      <c r="B606" s="163" t="s">
        <v>240</v>
      </c>
      <c r="C606" s="235"/>
      <c r="D606" s="329">
        <f>SUM(D250)</f>
        <v>2</v>
      </c>
      <c r="E606" s="328">
        <f>SUM(E250)</f>
        <v>0.5</v>
      </c>
      <c r="F606" s="109"/>
      <c r="G606" s="109"/>
      <c r="H606" s="301"/>
      <c r="I606" s="301"/>
    </row>
    <row r="607" spans="1:12" x14ac:dyDescent="0.25">
      <c r="A607" s="164" t="s">
        <v>755</v>
      </c>
      <c r="B607" s="193" t="s">
        <v>429</v>
      </c>
      <c r="C607" s="235"/>
      <c r="D607" s="328">
        <f>D216+D252+D410</f>
        <v>60</v>
      </c>
      <c r="E607" s="328">
        <f>E216+E252+E410</f>
        <v>0</v>
      </c>
      <c r="F607" s="109"/>
      <c r="G607" s="109"/>
      <c r="H607" s="301"/>
      <c r="I607" s="301"/>
    </row>
    <row r="608" spans="1:12" ht="39" customHeight="1" x14ac:dyDescent="0.25">
      <c r="A608" s="263" t="s">
        <v>756</v>
      </c>
      <c r="B608" s="155" t="s">
        <v>757</v>
      </c>
      <c r="C608" s="235"/>
      <c r="D608" s="328">
        <f>D251+D411</f>
        <v>352.99999999999994</v>
      </c>
      <c r="E608" s="328">
        <f>E251+E411</f>
        <v>68.699999999999989</v>
      </c>
      <c r="F608" s="107"/>
      <c r="G608" s="107"/>
    </row>
    <row r="609" spans="1:12" ht="12.6" customHeight="1" x14ac:dyDescent="0.25">
      <c r="A609" s="428" t="s">
        <v>758</v>
      </c>
      <c r="B609" s="427" t="s">
        <v>250</v>
      </c>
      <c r="C609" s="235"/>
      <c r="D609" s="328">
        <f>D249</f>
        <v>1</v>
      </c>
      <c r="E609" s="328">
        <f>E249</f>
        <v>1</v>
      </c>
      <c r="F609" s="107"/>
      <c r="G609" s="107"/>
    </row>
    <row r="610" spans="1:12" ht="34.200000000000003" customHeight="1" x14ac:dyDescent="0.25">
      <c r="A610" s="428" t="s">
        <v>878</v>
      </c>
      <c r="B610" s="427" t="s">
        <v>59</v>
      </c>
      <c r="C610" s="235"/>
      <c r="D610" s="328">
        <f>D412</f>
        <v>124</v>
      </c>
      <c r="E610" s="328"/>
      <c r="F610" s="107"/>
      <c r="G610" s="107"/>
    </row>
    <row r="611" spans="1:12" ht="13.2" customHeight="1" x14ac:dyDescent="0.25">
      <c r="A611" s="166" t="s">
        <v>759</v>
      </c>
      <c r="B611" s="182" t="s">
        <v>312</v>
      </c>
      <c r="C611" s="236"/>
      <c r="D611" s="391">
        <f>D613+D623+D624</f>
        <v>11438.2</v>
      </c>
      <c r="E611" s="391">
        <f>E613+E623+E624</f>
        <v>4849.1999999999989</v>
      </c>
      <c r="F611" s="114"/>
      <c r="G611" s="120"/>
      <c r="H611" s="120"/>
      <c r="I611" s="120"/>
      <c r="J611" s="120"/>
      <c r="K611" s="300"/>
      <c r="L611" s="295"/>
    </row>
    <row r="612" spans="1:12" x14ac:dyDescent="0.25">
      <c r="A612" s="184"/>
      <c r="B612" s="156" t="s">
        <v>542</v>
      </c>
      <c r="C612" s="236"/>
      <c r="D612" s="391"/>
      <c r="E612" s="328"/>
      <c r="F612" s="107"/>
      <c r="G612" s="107"/>
    </row>
    <row r="613" spans="1:12" x14ac:dyDescent="0.25">
      <c r="A613" s="184" t="s">
        <v>760</v>
      </c>
      <c r="B613" s="161"/>
      <c r="C613" s="237" t="s">
        <v>112</v>
      </c>
      <c r="D613" s="328">
        <f>SUM(D615:D622)</f>
        <v>11051.6</v>
      </c>
      <c r="E613" s="328">
        <f>SUM(E615:E622)</f>
        <v>4848.3999999999987</v>
      </c>
      <c r="F613" s="115"/>
      <c r="G613" s="121"/>
      <c r="H613" s="121"/>
      <c r="I613" s="121"/>
      <c r="J613" s="121"/>
      <c r="K613" s="295"/>
    </row>
    <row r="614" spans="1:12" x14ac:dyDescent="0.25">
      <c r="A614" s="184"/>
      <c r="B614" s="156" t="s">
        <v>230</v>
      </c>
      <c r="C614" s="237"/>
      <c r="D614" s="328"/>
      <c r="E614" s="328"/>
      <c r="F614" s="112"/>
      <c r="G614" s="112"/>
      <c r="H614" s="295"/>
      <c r="I614" s="295"/>
      <c r="J614" s="295"/>
      <c r="K614" s="295"/>
    </row>
    <row r="615" spans="1:12" x14ac:dyDescent="0.25">
      <c r="A615" s="184" t="s">
        <v>761</v>
      </c>
      <c r="B615" s="163" t="s">
        <v>458</v>
      </c>
      <c r="C615" s="237"/>
      <c r="D615" s="328">
        <f>D116+D230+D258+D266+D275+D416</f>
        <v>6614.1</v>
      </c>
      <c r="E615" s="328">
        <f>E116+E230+E258+E266+E275+E416</f>
        <v>3087.3999999999996</v>
      </c>
      <c r="F615" s="115"/>
      <c r="G615" s="115"/>
    </row>
    <row r="616" spans="1:12" x14ac:dyDescent="0.25">
      <c r="A616" s="166" t="s">
        <v>762</v>
      </c>
      <c r="B616" s="165" t="s">
        <v>710</v>
      </c>
      <c r="C616" s="237"/>
      <c r="D616" s="328">
        <f>D283</f>
        <v>294.7</v>
      </c>
      <c r="E616" s="328">
        <f>E283</f>
        <v>271.2</v>
      </c>
      <c r="F616" s="115"/>
      <c r="G616" s="115"/>
    </row>
    <row r="617" spans="1:12" x14ac:dyDescent="0.25">
      <c r="A617" s="184" t="s">
        <v>763</v>
      </c>
      <c r="B617" s="163" t="s">
        <v>423</v>
      </c>
      <c r="C617" s="236"/>
      <c r="D617" s="328">
        <f>D267+D417</f>
        <v>2456.4</v>
      </c>
      <c r="E617" s="328">
        <f>E267+E417</f>
        <v>512.1</v>
      </c>
      <c r="F617" s="115"/>
      <c r="G617" s="115"/>
    </row>
    <row r="618" spans="1:12" x14ac:dyDescent="0.25">
      <c r="A618" s="184" t="s">
        <v>764</v>
      </c>
      <c r="B618" s="163" t="s">
        <v>240</v>
      </c>
      <c r="C618" s="184"/>
      <c r="D618" s="328">
        <f>SUM(D232+D260+D269+D277+D284+D418)</f>
        <v>1237.5999999999999</v>
      </c>
      <c r="E618" s="328">
        <f>SUM(E260+E269+E277+E284+E418)</f>
        <v>929.3</v>
      </c>
      <c r="F618" s="115"/>
      <c r="G618" s="115"/>
    </row>
    <row r="619" spans="1:12" ht="24.6" customHeight="1" x14ac:dyDescent="0.25">
      <c r="A619" s="166" t="s">
        <v>765</v>
      </c>
      <c r="B619" s="165" t="s">
        <v>473</v>
      </c>
      <c r="C619" s="173"/>
      <c r="D619" s="328">
        <f>D419</f>
        <v>273.8</v>
      </c>
      <c r="E619" s="328">
        <f>E419</f>
        <v>2.9</v>
      </c>
      <c r="F619" s="115"/>
      <c r="G619" s="115"/>
      <c r="H619" s="301"/>
      <c r="I619" s="301"/>
    </row>
    <row r="620" spans="1:12" ht="35.4" customHeight="1" x14ac:dyDescent="0.25">
      <c r="A620" s="420" t="s">
        <v>766</v>
      </c>
      <c r="B620" s="421" t="s">
        <v>862</v>
      </c>
      <c r="C620" s="259"/>
      <c r="D620" s="328">
        <f>D420</f>
        <v>125.3</v>
      </c>
      <c r="E620" s="328"/>
      <c r="F620" s="115"/>
      <c r="G620" s="115"/>
      <c r="H620" s="301"/>
      <c r="I620" s="301"/>
    </row>
    <row r="621" spans="1:12" ht="26.25" customHeight="1" x14ac:dyDescent="0.25">
      <c r="A621" s="420" t="s">
        <v>767</v>
      </c>
      <c r="B621" s="433" t="s">
        <v>44</v>
      </c>
      <c r="C621" s="264"/>
      <c r="D621" s="328">
        <f>D421</f>
        <v>33.700000000000003</v>
      </c>
      <c r="E621" s="328">
        <f>E421</f>
        <v>29.5</v>
      </c>
      <c r="F621" s="115"/>
      <c r="G621" s="115"/>
      <c r="H621" s="301"/>
      <c r="I621" s="301"/>
    </row>
    <row r="622" spans="1:12" ht="12.6" customHeight="1" x14ac:dyDescent="0.25">
      <c r="A622" s="420" t="s">
        <v>768</v>
      </c>
      <c r="B622" s="421" t="s">
        <v>250</v>
      </c>
      <c r="C622" s="264"/>
      <c r="D622" s="328">
        <f>D117+D231+D259+D268+D276</f>
        <v>16</v>
      </c>
      <c r="E622" s="328">
        <f>E117+E231+E259+E268+E276</f>
        <v>16</v>
      </c>
      <c r="F622" s="115"/>
      <c r="G622" s="115"/>
      <c r="H622" s="301"/>
      <c r="I622" s="301"/>
    </row>
    <row r="623" spans="1:12" ht="13.2" customHeight="1" x14ac:dyDescent="0.25">
      <c r="A623" s="420" t="s">
        <v>769</v>
      </c>
      <c r="B623" s="163" t="s">
        <v>458</v>
      </c>
      <c r="C623" s="264" t="s">
        <v>461</v>
      </c>
      <c r="D623" s="328">
        <f>D415</f>
        <v>343.6</v>
      </c>
      <c r="E623" s="328"/>
      <c r="F623" s="115"/>
      <c r="G623" s="115"/>
      <c r="H623" s="301"/>
      <c r="I623" s="301"/>
    </row>
    <row r="624" spans="1:12" ht="24.6" customHeight="1" x14ac:dyDescent="0.25">
      <c r="A624" s="429" t="s">
        <v>770</v>
      </c>
      <c r="B624" s="165" t="s">
        <v>588</v>
      </c>
      <c r="C624" s="264"/>
      <c r="D624" s="328">
        <f>D422</f>
        <v>43</v>
      </c>
      <c r="E624" s="328">
        <f>E422</f>
        <v>0.8</v>
      </c>
      <c r="F624" s="115"/>
      <c r="G624" s="115"/>
      <c r="H624" s="301"/>
      <c r="I624" s="301"/>
    </row>
    <row r="625" spans="1:12" ht="22.5" customHeight="1" x14ac:dyDescent="0.25">
      <c r="A625" s="166" t="s">
        <v>771</v>
      </c>
      <c r="B625" s="265" t="s">
        <v>590</v>
      </c>
      <c r="C625" s="236"/>
      <c r="D625" s="391">
        <f>SUM(D627:D633)</f>
        <v>8282.5999999999985</v>
      </c>
      <c r="E625" s="391">
        <f>SUM(E627:E633)</f>
        <v>9.2999999999999989</v>
      </c>
      <c r="F625" s="114"/>
      <c r="G625" s="122"/>
      <c r="H625" s="122"/>
      <c r="I625" s="122"/>
      <c r="J625" s="122"/>
      <c r="K625" s="122"/>
      <c r="L625" s="295"/>
    </row>
    <row r="626" spans="1:12" x14ac:dyDescent="0.25">
      <c r="A626" s="184"/>
      <c r="B626" s="156" t="s">
        <v>542</v>
      </c>
      <c r="C626" s="236"/>
      <c r="D626" s="391"/>
      <c r="E626" s="328"/>
      <c r="F626" s="112"/>
      <c r="G626" s="112"/>
      <c r="H626" s="295"/>
      <c r="I626" s="295"/>
    </row>
    <row r="627" spans="1:12" x14ac:dyDescent="0.25">
      <c r="A627" s="184" t="s">
        <v>772</v>
      </c>
      <c r="B627" s="163" t="s">
        <v>458</v>
      </c>
      <c r="C627" s="237" t="s">
        <v>410</v>
      </c>
      <c r="D627" s="328">
        <f>D425</f>
        <v>2168.8000000000002</v>
      </c>
      <c r="E627" s="328"/>
      <c r="F627" s="115"/>
      <c r="G627" s="115"/>
    </row>
    <row r="628" spans="1:12" x14ac:dyDescent="0.25">
      <c r="A628" s="184" t="s">
        <v>773</v>
      </c>
      <c r="B628" s="163" t="s">
        <v>458</v>
      </c>
      <c r="C628" s="237" t="s">
        <v>604</v>
      </c>
      <c r="D628" s="328">
        <f>D438</f>
        <v>1305.9000000000001</v>
      </c>
      <c r="E628" s="328">
        <f>E438</f>
        <v>8.1</v>
      </c>
      <c r="F628" s="115"/>
      <c r="G628" s="115"/>
      <c r="H628" s="301"/>
      <c r="I628" s="301"/>
    </row>
    <row r="629" spans="1:12" ht="34.5" customHeight="1" x14ac:dyDescent="0.25">
      <c r="A629" s="166" t="s">
        <v>774</v>
      </c>
      <c r="B629" s="155" t="s">
        <v>617</v>
      </c>
      <c r="C629" s="238" t="s">
        <v>410</v>
      </c>
      <c r="D629" s="328">
        <f>D451</f>
        <v>3427.8</v>
      </c>
      <c r="E629" s="328"/>
      <c r="F629" s="115"/>
      <c r="G629" s="115"/>
    </row>
    <row r="630" spans="1:12" ht="23.4" customHeight="1" x14ac:dyDescent="0.25">
      <c r="A630" s="166" t="s">
        <v>775</v>
      </c>
      <c r="B630" s="207" t="s">
        <v>473</v>
      </c>
      <c r="C630" s="238" t="s">
        <v>410</v>
      </c>
      <c r="D630" s="328">
        <f>D452</f>
        <v>433.4</v>
      </c>
      <c r="E630" s="328"/>
      <c r="F630" s="115"/>
      <c r="G630" s="115"/>
    </row>
    <row r="631" spans="1:12" ht="25.95" customHeight="1" x14ac:dyDescent="0.25">
      <c r="A631" s="166" t="s">
        <v>776</v>
      </c>
      <c r="B631" s="207" t="s">
        <v>777</v>
      </c>
      <c r="C631" s="238" t="s">
        <v>604</v>
      </c>
      <c r="D631" s="328">
        <f>D453</f>
        <v>821.7</v>
      </c>
      <c r="E631" s="328">
        <f>E453</f>
        <v>1.2</v>
      </c>
      <c r="F631" s="115"/>
      <c r="G631" s="115"/>
    </row>
    <row r="632" spans="1:12" ht="12.75" customHeight="1" x14ac:dyDescent="0.25">
      <c r="A632" s="166" t="s">
        <v>778</v>
      </c>
      <c r="B632" s="207" t="s">
        <v>240</v>
      </c>
      <c r="C632" s="238" t="s">
        <v>604</v>
      </c>
      <c r="D632" s="328">
        <f>SUM(D454)</f>
        <v>5</v>
      </c>
      <c r="E632" s="328"/>
      <c r="F632" s="115"/>
      <c r="G632" s="115"/>
    </row>
    <row r="633" spans="1:12" ht="16.2" customHeight="1" x14ac:dyDescent="0.25">
      <c r="A633" s="420" t="s">
        <v>779</v>
      </c>
      <c r="B633" s="165" t="s">
        <v>573</v>
      </c>
      <c r="C633" s="434" t="s">
        <v>410</v>
      </c>
      <c r="D633" s="328">
        <f>D455</f>
        <v>120</v>
      </c>
      <c r="E633" s="328"/>
      <c r="F633" s="115"/>
      <c r="G633" s="115"/>
    </row>
    <row r="634" spans="1:12" ht="24" x14ac:dyDescent="0.25">
      <c r="A634" s="166" t="s">
        <v>780</v>
      </c>
      <c r="B634" s="194" t="s">
        <v>460</v>
      </c>
      <c r="C634" s="239" t="s">
        <v>461</v>
      </c>
      <c r="D634" s="391">
        <f>SUM(D636:D641)</f>
        <v>6934.4999999999991</v>
      </c>
      <c r="E634" s="391">
        <f>SUM(E636:E641)</f>
        <v>3128.5</v>
      </c>
      <c r="F634" s="114"/>
      <c r="G634" s="120"/>
      <c r="H634" s="120"/>
      <c r="I634" s="120"/>
      <c r="J634" s="120"/>
      <c r="K634" s="300"/>
      <c r="L634" s="295"/>
    </row>
    <row r="635" spans="1:12" x14ac:dyDescent="0.25">
      <c r="A635" s="184"/>
      <c r="B635" s="156" t="s">
        <v>542</v>
      </c>
      <c r="C635" s="266"/>
      <c r="D635" s="391"/>
      <c r="E635" s="328"/>
      <c r="F635" s="107"/>
      <c r="G635" s="107"/>
    </row>
    <row r="636" spans="1:12" x14ac:dyDescent="0.25">
      <c r="A636" s="184" t="s">
        <v>781</v>
      </c>
      <c r="B636" s="163" t="s">
        <v>458</v>
      </c>
      <c r="C636" s="244"/>
      <c r="D636" s="328">
        <f>D288+D297+D306+D314+D322+D330+D338+D346+D458</f>
        <v>5127.0999999999995</v>
      </c>
      <c r="E636" s="328">
        <f>E288+E297+E306+E314+E322+E330+E338+E346+E458</f>
        <v>2954.7</v>
      </c>
      <c r="F636" s="115"/>
      <c r="G636" s="115"/>
    </row>
    <row r="637" spans="1:12" x14ac:dyDescent="0.25">
      <c r="A637" s="184" t="s">
        <v>782</v>
      </c>
      <c r="B637" s="163" t="s">
        <v>240</v>
      </c>
      <c r="C637" s="184"/>
      <c r="D637" s="328">
        <f>SUM(D291+D299+D308+D316+D324+D332+D340+D348)</f>
        <v>341.90000000000003</v>
      </c>
      <c r="E637" s="328">
        <f>SUM(E291+E299+E308+E316+E324+E332+E340+E348)</f>
        <v>131.4</v>
      </c>
      <c r="F637" s="115"/>
      <c r="G637" s="115"/>
    </row>
    <row r="638" spans="1:12" ht="25.2" customHeight="1" x14ac:dyDescent="0.25">
      <c r="A638" s="166" t="s">
        <v>783</v>
      </c>
      <c r="B638" s="207" t="s">
        <v>473</v>
      </c>
      <c r="C638" s="184"/>
      <c r="D638" s="328">
        <f>D300+D462</f>
        <v>401.3</v>
      </c>
      <c r="E638" s="328">
        <f>E300+E462</f>
        <v>12.9</v>
      </c>
      <c r="F638" s="115"/>
      <c r="G638" s="115"/>
    </row>
    <row r="639" spans="1:12" ht="12" customHeight="1" x14ac:dyDescent="0.25">
      <c r="A639" s="420" t="s">
        <v>867</v>
      </c>
      <c r="B639" s="436" t="s">
        <v>250</v>
      </c>
      <c r="C639" s="184"/>
      <c r="D639" s="328">
        <f>D289+D298+D307+D315+D323+D331+D339+D347</f>
        <v>29.5</v>
      </c>
      <c r="E639" s="328">
        <f>E289+E298+E307+E315+E323+E331+E339+E347</f>
        <v>29.5</v>
      </c>
      <c r="F639" s="115"/>
      <c r="G639" s="115"/>
    </row>
    <row r="640" spans="1:12" ht="23.4" customHeight="1" x14ac:dyDescent="0.25">
      <c r="A640" s="166" t="s">
        <v>784</v>
      </c>
      <c r="B640" s="436" t="s">
        <v>865</v>
      </c>
      <c r="C640" s="184"/>
      <c r="D640" s="328">
        <f>D290</f>
        <v>77.7</v>
      </c>
      <c r="E640" s="328"/>
      <c r="F640" s="115"/>
      <c r="G640" s="115"/>
    </row>
    <row r="641" spans="1:12" ht="25.95" customHeight="1" x14ac:dyDescent="0.25">
      <c r="A641" s="166" t="s">
        <v>785</v>
      </c>
      <c r="B641" s="207" t="s">
        <v>627</v>
      </c>
      <c r="C641" s="184"/>
      <c r="D641" s="328">
        <f>D463</f>
        <v>957</v>
      </c>
      <c r="E641" s="328"/>
      <c r="F641" s="115"/>
      <c r="G641" s="115"/>
    </row>
    <row r="642" spans="1:12" x14ac:dyDescent="0.25">
      <c r="A642" s="184" t="s">
        <v>786</v>
      </c>
      <c r="B642" s="161" t="s">
        <v>512</v>
      </c>
      <c r="C642" s="235"/>
      <c r="D642" s="395">
        <f>SUM(D644:D647)</f>
        <v>2886.4</v>
      </c>
      <c r="E642" s="391">
        <f>SUM(E644:E647)</f>
        <v>860.7</v>
      </c>
      <c r="F642" s="114"/>
      <c r="G642" s="120"/>
      <c r="H642" s="120"/>
      <c r="I642" s="120"/>
      <c r="J642" s="120"/>
      <c r="K642" s="295"/>
      <c r="L642" s="295"/>
    </row>
    <row r="643" spans="1:12" x14ac:dyDescent="0.25">
      <c r="A643" s="184"/>
      <c r="B643" s="156" t="s">
        <v>542</v>
      </c>
      <c r="C643" s="235"/>
      <c r="D643" s="395"/>
      <c r="E643" s="328"/>
      <c r="F643" s="107"/>
      <c r="G643" s="107"/>
    </row>
    <row r="644" spans="1:12" x14ac:dyDescent="0.25">
      <c r="A644" s="184" t="s">
        <v>787</v>
      </c>
      <c r="B644" s="163" t="s">
        <v>458</v>
      </c>
      <c r="C644" s="235" t="s">
        <v>461</v>
      </c>
      <c r="D644" s="330">
        <f>D354+D466</f>
        <v>2473.4</v>
      </c>
      <c r="E644" s="328">
        <f>E354+E466</f>
        <v>593</v>
      </c>
      <c r="F644" s="115"/>
      <c r="G644" s="115"/>
    </row>
    <row r="645" spans="1:12" ht="13.5" customHeight="1" x14ac:dyDescent="0.25">
      <c r="A645" s="184" t="s">
        <v>788</v>
      </c>
      <c r="B645" s="163" t="s">
        <v>240</v>
      </c>
      <c r="C645" s="235"/>
      <c r="D645" s="330">
        <f>SUM(D356)</f>
        <v>60</v>
      </c>
      <c r="E645" s="328">
        <f>SUM(E356)</f>
        <v>22</v>
      </c>
      <c r="F645" s="115"/>
      <c r="G645" s="115"/>
    </row>
    <row r="646" spans="1:12" ht="13.5" customHeight="1" x14ac:dyDescent="0.25">
      <c r="A646" s="424" t="s">
        <v>789</v>
      </c>
      <c r="B646" s="438" t="s">
        <v>250</v>
      </c>
      <c r="C646" s="235"/>
      <c r="D646" s="330">
        <f>D355</f>
        <v>4</v>
      </c>
      <c r="E646" s="328">
        <f>E355</f>
        <v>4</v>
      </c>
      <c r="F646" s="115"/>
      <c r="G646" s="115"/>
    </row>
    <row r="647" spans="1:12" ht="13.5" customHeight="1" x14ac:dyDescent="0.25">
      <c r="A647" s="420" t="s">
        <v>790</v>
      </c>
      <c r="B647" s="163" t="s">
        <v>458</v>
      </c>
      <c r="C647" s="235" t="s">
        <v>232</v>
      </c>
      <c r="D647" s="330">
        <f>D467</f>
        <v>349</v>
      </c>
      <c r="E647" s="328">
        <f>E467</f>
        <v>241.7</v>
      </c>
      <c r="F647" s="115"/>
      <c r="G647" s="115"/>
    </row>
    <row r="648" spans="1:12" ht="24" customHeight="1" x14ac:dyDescent="0.25">
      <c r="A648" s="267" t="s">
        <v>791</v>
      </c>
      <c r="B648" s="194" t="s">
        <v>241</v>
      </c>
      <c r="C648" s="244"/>
      <c r="D648" s="395">
        <f>D650+D663+D667+D672+D677+D678+D679+D680+D681+D684+D689+D690</f>
        <v>11884.300000000001</v>
      </c>
      <c r="E648" s="391">
        <f>E650+E663+E667+E672+E677+E678+E679+E680+E681+E684+E690</f>
        <v>7945.4</v>
      </c>
      <c r="F648" s="114"/>
      <c r="G648" s="120"/>
      <c r="H648" s="120"/>
      <c r="I648" s="120"/>
      <c r="J648" s="120"/>
      <c r="K648" s="300"/>
      <c r="L648" s="295"/>
    </row>
    <row r="649" spans="1:12" ht="12.75" customHeight="1" x14ac:dyDescent="0.25">
      <c r="A649" s="184"/>
      <c r="B649" s="156" t="s">
        <v>542</v>
      </c>
      <c r="C649" s="244"/>
      <c r="D649" s="395"/>
      <c r="E649" s="328"/>
      <c r="F649" s="107"/>
      <c r="G649" s="107"/>
    </row>
    <row r="650" spans="1:12" x14ac:dyDescent="0.25">
      <c r="A650" s="184" t="s">
        <v>792</v>
      </c>
      <c r="B650" s="184"/>
      <c r="C650" s="237" t="s">
        <v>394</v>
      </c>
      <c r="D650" s="330">
        <f>D652+D653+D658+D659</f>
        <v>7521.1</v>
      </c>
      <c r="E650" s="328">
        <f>E652+E653+E658+E659</f>
        <v>4554.6000000000004</v>
      </c>
      <c r="F650" s="115"/>
      <c r="G650" s="121"/>
      <c r="H650" s="121"/>
      <c r="I650" s="121"/>
      <c r="J650" s="121"/>
      <c r="K650" s="295"/>
      <c r="L650" s="295"/>
    </row>
    <row r="651" spans="1:12" ht="12.75" customHeight="1" x14ac:dyDescent="0.25">
      <c r="A651" s="184"/>
      <c r="B651" s="156" t="s">
        <v>230</v>
      </c>
      <c r="C651" s="244"/>
      <c r="D651" s="330"/>
      <c r="E651" s="328"/>
      <c r="F651" s="107"/>
      <c r="G651" s="112"/>
      <c r="H651" s="112"/>
      <c r="I651" s="112"/>
      <c r="J651" s="112"/>
    </row>
    <row r="652" spans="1:12" ht="12.75" customHeight="1" x14ac:dyDescent="0.25">
      <c r="A652" s="184" t="s">
        <v>793</v>
      </c>
      <c r="B652" s="163" t="s">
        <v>634</v>
      </c>
      <c r="C652" s="244"/>
      <c r="D652" s="330">
        <f>D472</f>
        <v>445.9</v>
      </c>
      <c r="E652" s="328">
        <f>E472</f>
        <v>286.60000000000002</v>
      </c>
      <c r="F652" s="115"/>
      <c r="G652" s="121"/>
      <c r="H652" s="121"/>
      <c r="I652" s="121"/>
      <c r="J652" s="121"/>
      <c r="K652" s="295"/>
      <c r="L652" s="295"/>
    </row>
    <row r="653" spans="1:12" ht="12.75" customHeight="1" x14ac:dyDescent="0.25">
      <c r="A653" s="184" t="s">
        <v>794</v>
      </c>
      <c r="B653" s="163" t="s">
        <v>175</v>
      </c>
      <c r="C653" s="244"/>
      <c r="D653" s="330">
        <f>D655+D656+D657</f>
        <v>5819.3</v>
      </c>
      <c r="E653" s="328">
        <f>E655+E656+E657</f>
        <v>3472.9000000000005</v>
      </c>
      <c r="F653" s="115"/>
      <c r="G653" s="115"/>
      <c r="I653" s="295"/>
    </row>
    <row r="654" spans="1:12" ht="12.75" customHeight="1" x14ac:dyDescent="0.25">
      <c r="A654" s="184"/>
      <c r="B654" s="156" t="s">
        <v>542</v>
      </c>
      <c r="C654" s="244"/>
      <c r="D654" s="330"/>
      <c r="E654" s="328"/>
      <c r="F654" s="107"/>
      <c r="G654" s="107"/>
      <c r="H654" s="302"/>
      <c r="I654" s="302"/>
      <c r="J654" s="302"/>
      <c r="K654" s="302"/>
      <c r="L654" s="295"/>
    </row>
    <row r="655" spans="1:12" x14ac:dyDescent="0.25">
      <c r="A655" s="184" t="s">
        <v>795</v>
      </c>
      <c r="B655" s="163" t="s">
        <v>458</v>
      </c>
      <c r="C655" s="244"/>
      <c r="D655" s="330">
        <f>D475</f>
        <v>5684.9</v>
      </c>
      <c r="E655" s="328">
        <f>E475</f>
        <v>3397.5000000000005</v>
      </c>
      <c r="F655" s="115"/>
      <c r="G655" s="115"/>
      <c r="H655" s="302"/>
      <c r="I655" s="295"/>
      <c r="J655" s="295"/>
      <c r="K655" s="295"/>
      <c r="L655" s="295"/>
    </row>
    <row r="656" spans="1:12" x14ac:dyDescent="0.25">
      <c r="A656" s="184" t="s">
        <v>796</v>
      </c>
      <c r="B656" s="163" t="s">
        <v>649</v>
      </c>
      <c r="C656" s="236"/>
      <c r="D656" s="330">
        <f>D488</f>
        <v>79.300000000000011</v>
      </c>
      <c r="E656" s="328">
        <f>E488</f>
        <v>75.400000000000006</v>
      </c>
      <c r="F656" s="115"/>
      <c r="G656" s="115"/>
    </row>
    <row r="657" spans="1:11" x14ac:dyDescent="0.25">
      <c r="A657" s="184" t="s">
        <v>797</v>
      </c>
      <c r="B657" s="163" t="s">
        <v>240</v>
      </c>
      <c r="C657" s="244"/>
      <c r="D657" s="330">
        <f>SUM(D498)</f>
        <v>55.1</v>
      </c>
      <c r="E657" s="328">
        <f>SUM(E498)</f>
        <v>0</v>
      </c>
      <c r="F657" s="115"/>
      <c r="G657" s="115"/>
    </row>
    <row r="658" spans="1:11" x14ac:dyDescent="0.25">
      <c r="A658" s="184" t="s">
        <v>798</v>
      </c>
      <c r="B658" s="421" t="s">
        <v>879</v>
      </c>
      <c r="C658" s="244"/>
      <c r="D658" s="330">
        <f>D368</f>
        <v>153.5</v>
      </c>
      <c r="E658" s="328">
        <f>E368</f>
        <v>142.4</v>
      </c>
      <c r="F658" s="115"/>
      <c r="G658" s="115"/>
    </row>
    <row r="659" spans="1:11" ht="24" customHeight="1" x14ac:dyDescent="0.25">
      <c r="A659" s="166" t="s">
        <v>799</v>
      </c>
      <c r="B659" s="165" t="s">
        <v>880</v>
      </c>
      <c r="C659" s="268"/>
      <c r="D659" s="330">
        <f>D661+D662</f>
        <v>1102.4000000000001</v>
      </c>
      <c r="E659" s="328">
        <f>E661+E662</f>
        <v>652.69999999999982</v>
      </c>
      <c r="F659" s="115"/>
      <c r="G659" s="115"/>
    </row>
    <row r="660" spans="1:11" ht="11.4" customHeight="1" x14ac:dyDescent="0.25">
      <c r="A660" s="166"/>
      <c r="B660" s="156" t="s">
        <v>230</v>
      </c>
      <c r="C660" s="268"/>
      <c r="D660" s="330"/>
      <c r="E660" s="328"/>
      <c r="F660" s="115"/>
      <c r="G660" s="115"/>
    </row>
    <row r="661" spans="1:11" ht="12.6" customHeight="1" x14ac:dyDescent="0.25">
      <c r="A661" s="420" t="s">
        <v>881</v>
      </c>
      <c r="B661" s="163" t="s">
        <v>458</v>
      </c>
      <c r="C661" s="268"/>
      <c r="D661" s="330">
        <f>D16+D26+D35+D44+D54+D63+D71+D80+D89+D98+D107+D119+D128+D137+D146+D155+D164+D173+D182+D191+D200+D209+D218+D226+D234+D243+D254+D262+D271+D279+D293+D302+D310+D318+D326+D334+D342+D350+D358</f>
        <v>1099.4000000000001</v>
      </c>
      <c r="E661" s="328">
        <f>E16+E26+E35+E44+E54+E63+E71+E80+E89+E98+E107+E119+E128+E137+E146+E155+E164+E173+E182+E191+E200+E209+E218+E226+E234+E243+E254+E262+E271+E279+E293+E302+E310+E318+E326+E334+E342+E350+E358</f>
        <v>649.69999999999982</v>
      </c>
      <c r="F661" s="115"/>
      <c r="G661" s="115"/>
    </row>
    <row r="662" spans="1:11" ht="12.6" customHeight="1" x14ac:dyDescent="0.25">
      <c r="A662" s="420" t="s">
        <v>882</v>
      </c>
      <c r="B662" s="421" t="s">
        <v>250</v>
      </c>
      <c r="C662" s="268"/>
      <c r="D662" s="330">
        <f>D219</f>
        <v>3</v>
      </c>
      <c r="E662" s="328">
        <f>E219</f>
        <v>3</v>
      </c>
      <c r="F662" s="115"/>
      <c r="G662" s="115"/>
    </row>
    <row r="663" spans="1:11" x14ac:dyDescent="0.25">
      <c r="A663" s="184" t="s">
        <v>800</v>
      </c>
      <c r="B663" s="237"/>
      <c r="C663" s="237" t="s">
        <v>664</v>
      </c>
      <c r="D663" s="330">
        <f>D665+D666</f>
        <v>92</v>
      </c>
      <c r="E663" s="328">
        <f>E665+E666</f>
        <v>74.599999999999994</v>
      </c>
      <c r="F663" s="115"/>
      <c r="G663" s="115"/>
    </row>
    <row r="664" spans="1:11" x14ac:dyDescent="0.25">
      <c r="A664" s="184"/>
      <c r="B664" s="237" t="s">
        <v>230</v>
      </c>
      <c r="C664" s="237"/>
      <c r="D664" s="330"/>
      <c r="E664" s="328"/>
      <c r="F664" s="107"/>
      <c r="G664" s="107"/>
    </row>
    <row r="665" spans="1:11" x14ac:dyDescent="0.25">
      <c r="A665" s="184" t="s">
        <v>801</v>
      </c>
      <c r="B665" s="163" t="s">
        <v>423</v>
      </c>
      <c r="C665" s="244"/>
      <c r="D665" s="330">
        <f>D506</f>
        <v>74.8</v>
      </c>
      <c r="E665" s="328">
        <f>E506</f>
        <v>58.699999999999996</v>
      </c>
      <c r="F665" s="115"/>
      <c r="G665" s="115"/>
      <c r="H665" s="301"/>
      <c r="I665" s="301"/>
    </row>
    <row r="666" spans="1:11" x14ac:dyDescent="0.25">
      <c r="A666" s="184" t="s">
        <v>802</v>
      </c>
      <c r="B666" s="163" t="s">
        <v>458</v>
      </c>
      <c r="C666" s="244"/>
      <c r="D666" s="330">
        <f>D507</f>
        <v>17.2</v>
      </c>
      <c r="E666" s="328">
        <f>E507</f>
        <v>15.9</v>
      </c>
      <c r="F666" s="115"/>
      <c r="G666" s="115"/>
      <c r="H666" s="301"/>
      <c r="I666" s="301"/>
    </row>
    <row r="667" spans="1:11" x14ac:dyDescent="0.25">
      <c r="A667" s="184" t="s">
        <v>803</v>
      </c>
      <c r="B667" s="163"/>
      <c r="C667" s="237" t="s">
        <v>519</v>
      </c>
      <c r="D667" s="330">
        <f>D669+D670+D671</f>
        <v>905.40000000000009</v>
      </c>
      <c r="E667" s="328">
        <f>E669+E670+E671</f>
        <v>751.5</v>
      </c>
      <c r="F667" s="115"/>
      <c r="G667" s="121"/>
      <c r="H667" s="121"/>
      <c r="I667" s="121"/>
      <c r="J667" s="121"/>
    </row>
    <row r="668" spans="1:11" x14ac:dyDescent="0.25">
      <c r="A668" s="184"/>
      <c r="B668" s="156" t="s">
        <v>230</v>
      </c>
      <c r="C668" s="237"/>
      <c r="D668" s="330"/>
      <c r="E668" s="328"/>
      <c r="F668" s="112"/>
      <c r="G668" s="112"/>
      <c r="H668" s="295"/>
      <c r="I668" s="295"/>
      <c r="J668" s="295"/>
      <c r="K668" s="295"/>
    </row>
    <row r="669" spans="1:11" x14ac:dyDescent="0.25">
      <c r="A669" s="184" t="s">
        <v>804</v>
      </c>
      <c r="B669" s="163" t="s">
        <v>458</v>
      </c>
      <c r="C669" s="237"/>
      <c r="D669" s="330">
        <f>D362+D508</f>
        <v>103.80000000000001</v>
      </c>
      <c r="E669" s="328">
        <f>E362+E508</f>
        <v>13.4</v>
      </c>
      <c r="F669" s="115"/>
      <c r="G669" s="115"/>
    </row>
    <row r="670" spans="1:11" x14ac:dyDescent="0.25">
      <c r="A670" s="184" t="s">
        <v>805</v>
      </c>
      <c r="B670" s="163" t="s">
        <v>521</v>
      </c>
      <c r="C670" s="237"/>
      <c r="D670" s="330">
        <f>D363</f>
        <v>798.6</v>
      </c>
      <c r="E670" s="328">
        <f>E363</f>
        <v>738.1</v>
      </c>
      <c r="F670" s="115"/>
      <c r="G670" s="115"/>
    </row>
    <row r="671" spans="1:11" x14ac:dyDescent="0.25">
      <c r="A671" s="184" t="s">
        <v>806</v>
      </c>
      <c r="B671" s="163" t="s">
        <v>240</v>
      </c>
      <c r="C671" s="237"/>
      <c r="D671" s="330">
        <f>SUM(D364)</f>
        <v>3</v>
      </c>
      <c r="E671" s="328">
        <f>SUM(E364)</f>
        <v>0</v>
      </c>
      <c r="F671" s="115"/>
      <c r="G671" s="115"/>
    </row>
    <row r="672" spans="1:11" x14ac:dyDescent="0.25">
      <c r="A672" s="184" t="s">
        <v>807</v>
      </c>
      <c r="B672" s="163"/>
      <c r="C672" s="237" t="s">
        <v>410</v>
      </c>
      <c r="D672" s="330">
        <f>D674+D675+D676</f>
        <v>1551.3999999999999</v>
      </c>
      <c r="E672" s="328">
        <f>E674+E675+E676</f>
        <v>1429.1999999999998</v>
      </c>
      <c r="F672" s="115"/>
      <c r="G672" s="121"/>
      <c r="H672" s="121"/>
      <c r="I672" s="121"/>
      <c r="J672" s="121"/>
      <c r="K672" s="295"/>
    </row>
    <row r="673" spans="1:11" x14ac:dyDescent="0.25">
      <c r="A673" s="184"/>
      <c r="B673" s="156" t="s">
        <v>230</v>
      </c>
      <c r="C673" s="237"/>
      <c r="D673" s="330"/>
      <c r="E673" s="328"/>
      <c r="F673" s="107"/>
      <c r="G673" s="107"/>
    </row>
    <row r="674" spans="1:11" x14ac:dyDescent="0.25">
      <c r="A674" s="145" t="s">
        <v>808</v>
      </c>
      <c r="B674" s="142" t="s">
        <v>458</v>
      </c>
      <c r="C674" s="269"/>
      <c r="D674" s="330">
        <f>D511</f>
        <v>1248.3999999999999</v>
      </c>
      <c r="E674" s="328">
        <f>E511</f>
        <v>1159.5999999999999</v>
      </c>
      <c r="F674" s="115"/>
      <c r="G674" s="115"/>
      <c r="H674" s="301"/>
      <c r="I674" s="301"/>
    </row>
    <row r="675" spans="1:11" ht="12.75" customHeight="1" x14ac:dyDescent="0.25">
      <c r="A675" s="145" t="s">
        <v>809</v>
      </c>
      <c r="B675" s="142" t="s">
        <v>521</v>
      </c>
      <c r="C675" s="269"/>
      <c r="D675" s="330">
        <f>D512</f>
        <v>283</v>
      </c>
      <c r="E675" s="328">
        <f>E512</f>
        <v>269.60000000000002</v>
      </c>
      <c r="F675" s="123"/>
      <c r="G675" s="123"/>
    </row>
    <row r="676" spans="1:11" x14ac:dyDescent="0.25">
      <c r="A676" s="145" t="s">
        <v>810</v>
      </c>
      <c r="B676" s="270" t="s">
        <v>573</v>
      </c>
      <c r="C676" s="269"/>
      <c r="D676" s="330">
        <f>D521</f>
        <v>20</v>
      </c>
      <c r="E676" s="328"/>
      <c r="F676" s="115"/>
      <c r="G676" s="115"/>
    </row>
    <row r="677" spans="1:11" x14ac:dyDescent="0.25">
      <c r="A677" s="145" t="s">
        <v>811</v>
      </c>
      <c r="B677" s="142" t="s">
        <v>458</v>
      </c>
      <c r="C677" s="269" t="s">
        <v>541</v>
      </c>
      <c r="D677" s="330">
        <f>D522</f>
        <v>22.6</v>
      </c>
      <c r="E677" s="328">
        <f>E522</f>
        <v>21.7</v>
      </c>
      <c r="F677" s="115"/>
      <c r="G677" s="115"/>
      <c r="H677" s="295"/>
      <c r="I677" s="295"/>
      <c r="J677" s="295"/>
      <c r="K677" s="295"/>
    </row>
    <row r="678" spans="1:11" x14ac:dyDescent="0.25">
      <c r="A678" s="145" t="s">
        <v>812</v>
      </c>
      <c r="B678" s="142" t="s">
        <v>458</v>
      </c>
      <c r="C678" s="269" t="s">
        <v>604</v>
      </c>
      <c r="D678" s="330">
        <f>D523</f>
        <v>52.6</v>
      </c>
      <c r="E678" s="328"/>
      <c r="F678" s="115"/>
      <c r="G678" s="115"/>
      <c r="H678" s="295"/>
      <c r="I678" s="295"/>
      <c r="J678" s="295"/>
      <c r="K678" s="295"/>
    </row>
    <row r="679" spans="1:11" x14ac:dyDescent="0.25">
      <c r="A679" s="145" t="s">
        <v>813</v>
      </c>
      <c r="B679" s="142" t="s">
        <v>458</v>
      </c>
      <c r="C679" s="269" t="s">
        <v>420</v>
      </c>
      <c r="D679" s="330">
        <f>D524</f>
        <v>100.2</v>
      </c>
      <c r="E679" s="328">
        <f>E524</f>
        <v>98.2</v>
      </c>
      <c r="F679" s="115"/>
      <c r="G679" s="115"/>
    </row>
    <row r="680" spans="1:11" x14ac:dyDescent="0.25">
      <c r="A680" s="145" t="s">
        <v>814</v>
      </c>
      <c r="B680" s="142" t="s">
        <v>458</v>
      </c>
      <c r="C680" s="269" t="s">
        <v>461</v>
      </c>
      <c r="D680" s="330">
        <f>D525</f>
        <v>355.5</v>
      </c>
      <c r="E680" s="328">
        <f>E525</f>
        <v>54.2</v>
      </c>
      <c r="F680" s="115"/>
      <c r="G680" s="115"/>
    </row>
    <row r="681" spans="1:11" x14ac:dyDescent="0.25">
      <c r="A681" s="145" t="s">
        <v>815</v>
      </c>
      <c r="B681" s="142"/>
      <c r="C681" s="269" t="s">
        <v>232</v>
      </c>
      <c r="D681" s="330">
        <f>D682+D683</f>
        <v>284.60000000000002</v>
      </c>
      <c r="E681" s="328">
        <f>E682+E683</f>
        <v>256.8</v>
      </c>
      <c r="F681" s="115"/>
      <c r="G681" s="121"/>
      <c r="H681" s="121"/>
      <c r="I681" s="121"/>
      <c r="J681" s="121"/>
      <c r="K681" s="300"/>
    </row>
    <row r="682" spans="1:11" x14ac:dyDescent="0.25">
      <c r="A682" s="145" t="s">
        <v>816</v>
      </c>
      <c r="B682" s="142" t="s">
        <v>458</v>
      </c>
      <c r="C682" s="269"/>
      <c r="D682" s="330">
        <f>D527</f>
        <v>263.60000000000002</v>
      </c>
      <c r="E682" s="328">
        <f>SUM(E527)</f>
        <v>236.1</v>
      </c>
      <c r="F682" s="115"/>
      <c r="G682" s="115"/>
    </row>
    <row r="683" spans="1:11" x14ac:dyDescent="0.25">
      <c r="A683" s="150" t="s">
        <v>817</v>
      </c>
      <c r="B683" s="142" t="s">
        <v>521</v>
      </c>
      <c r="C683" s="271"/>
      <c r="D683" s="330">
        <f>D528</f>
        <v>21</v>
      </c>
      <c r="E683" s="328">
        <f>E528</f>
        <v>20.7</v>
      </c>
      <c r="F683" s="115"/>
      <c r="G683" s="115"/>
    </row>
    <row r="684" spans="1:11" ht="12.75" customHeight="1" x14ac:dyDescent="0.25">
      <c r="A684" s="145" t="s">
        <v>818</v>
      </c>
      <c r="B684" s="145"/>
      <c r="C684" s="269" t="s">
        <v>112</v>
      </c>
      <c r="D684" s="330">
        <f>D686+D687+D688</f>
        <v>772.90000000000009</v>
      </c>
      <c r="E684" s="328">
        <f>E686+E687+E688</f>
        <v>704.59999999999991</v>
      </c>
      <c r="F684" s="123"/>
      <c r="G684" s="123"/>
      <c r="H684" s="295"/>
      <c r="I684" s="295"/>
      <c r="J684" s="295"/>
      <c r="K684" s="295"/>
    </row>
    <row r="685" spans="1:11" ht="12.75" customHeight="1" x14ac:dyDescent="0.25">
      <c r="A685" s="145"/>
      <c r="B685" s="138" t="s">
        <v>230</v>
      </c>
      <c r="C685" s="269"/>
      <c r="D685" s="330"/>
      <c r="E685" s="328"/>
      <c r="F685" s="107"/>
      <c r="G685" s="107"/>
    </row>
    <row r="686" spans="1:11" x14ac:dyDescent="0.25">
      <c r="A686" s="145" t="s">
        <v>819</v>
      </c>
      <c r="B686" s="142" t="s">
        <v>458</v>
      </c>
      <c r="C686" s="269"/>
      <c r="D686" s="330">
        <f>D531</f>
        <v>679.7</v>
      </c>
      <c r="E686" s="328">
        <f>E531</f>
        <v>612.79999999999995</v>
      </c>
      <c r="F686" s="115"/>
      <c r="G686" s="115"/>
    </row>
    <row r="687" spans="1:11" ht="12" customHeight="1" x14ac:dyDescent="0.25">
      <c r="A687" s="145" t="s">
        <v>820</v>
      </c>
      <c r="B687" s="142" t="s">
        <v>521</v>
      </c>
      <c r="C687" s="269"/>
      <c r="D687" s="330">
        <f>D544</f>
        <v>92.7</v>
      </c>
      <c r="E687" s="328">
        <f>E544</f>
        <v>91.3</v>
      </c>
      <c r="F687" s="123"/>
      <c r="G687" s="123"/>
    </row>
    <row r="688" spans="1:11" ht="23.4" customHeight="1" x14ac:dyDescent="0.25">
      <c r="A688" s="145" t="s">
        <v>821</v>
      </c>
      <c r="B688" s="144" t="s">
        <v>701</v>
      </c>
      <c r="C688" s="269"/>
      <c r="D688" s="330">
        <f>D545</f>
        <v>0.5</v>
      </c>
      <c r="E688" s="328">
        <f>E545</f>
        <v>0.5</v>
      </c>
      <c r="F688" s="123"/>
      <c r="G688" s="123"/>
    </row>
    <row r="689" spans="1:7" ht="10.5" customHeight="1" x14ac:dyDescent="0.25">
      <c r="A689" s="472" t="s">
        <v>892</v>
      </c>
      <c r="B689" s="473" t="s">
        <v>891</v>
      </c>
      <c r="C689" s="474" t="s">
        <v>394</v>
      </c>
      <c r="D689" s="330">
        <f>D546</f>
        <v>6</v>
      </c>
      <c r="E689" s="328"/>
      <c r="F689" s="123"/>
      <c r="G689" s="123"/>
    </row>
    <row r="690" spans="1:7" ht="12.75" customHeight="1" x14ac:dyDescent="0.25">
      <c r="A690" s="146" t="s">
        <v>822</v>
      </c>
      <c r="B690" s="272" t="s">
        <v>703</v>
      </c>
      <c r="C690" s="148" t="s">
        <v>394</v>
      </c>
      <c r="D690" s="331">
        <f>D547</f>
        <v>220</v>
      </c>
      <c r="E690" s="331"/>
      <c r="F690" s="115"/>
      <c r="G690" s="115"/>
    </row>
    <row r="691" spans="1:7" x14ac:dyDescent="0.25">
      <c r="A691" s="299"/>
      <c r="B691" s="172"/>
      <c r="C691" s="299"/>
      <c r="D691" s="299"/>
      <c r="E691" s="299"/>
    </row>
    <row r="692" spans="1:7" x14ac:dyDescent="0.25">
      <c r="A692" s="299"/>
      <c r="B692" s="299" t="s">
        <v>823</v>
      </c>
      <c r="C692" s="299"/>
      <c r="D692" s="299"/>
      <c r="E692" s="299"/>
    </row>
    <row r="693" spans="1:7" x14ac:dyDescent="0.25">
      <c r="A693" s="299"/>
      <c r="B693" s="299"/>
      <c r="C693" s="299"/>
      <c r="D693" s="299"/>
      <c r="E693" s="299"/>
    </row>
    <row r="694" spans="1:7" x14ac:dyDescent="0.25">
      <c r="A694" s="299"/>
      <c r="B694" s="299"/>
      <c r="C694" s="299"/>
      <c r="D694" s="299"/>
      <c r="E694" s="299"/>
    </row>
    <row r="695" spans="1:7" x14ac:dyDescent="0.25">
      <c r="A695" s="299"/>
      <c r="B695" s="299"/>
      <c r="C695" s="299"/>
      <c r="D695" s="299"/>
      <c r="E695" s="299"/>
    </row>
    <row r="696" spans="1:7" x14ac:dyDescent="0.25">
      <c r="A696" s="299"/>
      <c r="B696" s="299"/>
      <c r="C696" s="299"/>
      <c r="D696" s="299"/>
      <c r="E696" s="299"/>
    </row>
    <row r="697" spans="1:7" x14ac:dyDescent="0.25">
      <c r="A697" s="299"/>
      <c r="B697" s="299"/>
      <c r="C697" s="299"/>
      <c r="D697" s="299"/>
      <c r="E697" s="299"/>
    </row>
    <row r="698" spans="1:7" x14ac:dyDescent="0.25">
      <c r="A698" s="299"/>
      <c r="B698" s="299"/>
      <c r="C698" s="299"/>
      <c r="D698" s="299"/>
      <c r="E698" s="299"/>
    </row>
    <row r="699" spans="1:7" x14ac:dyDescent="0.25">
      <c r="A699" s="299"/>
      <c r="B699" s="299"/>
      <c r="C699" s="299"/>
      <c r="D699" s="299"/>
      <c r="E699" s="299"/>
    </row>
    <row r="700" spans="1:7" x14ac:dyDescent="0.25">
      <c r="A700" s="299"/>
      <c r="B700" s="299"/>
      <c r="C700" s="299"/>
      <c r="D700" s="299"/>
      <c r="E700" s="299"/>
    </row>
    <row r="701" spans="1:7" x14ac:dyDescent="0.25">
      <c r="A701" s="299"/>
      <c r="B701" s="299"/>
      <c r="C701" s="299"/>
      <c r="D701" s="299"/>
      <c r="E701" s="299"/>
    </row>
    <row r="702" spans="1:7" x14ac:dyDescent="0.25">
      <c r="A702" s="299"/>
      <c r="B702" s="299"/>
      <c r="C702" s="299"/>
      <c r="D702" s="299"/>
      <c r="E702" s="299"/>
    </row>
    <row r="703" spans="1:7" x14ac:dyDescent="0.25">
      <c r="A703" s="299"/>
      <c r="B703" s="299"/>
      <c r="C703" s="299"/>
      <c r="D703" s="299"/>
      <c r="E703" s="299"/>
    </row>
    <row r="704" spans="1:7" x14ac:dyDescent="0.25">
      <c r="A704" s="299"/>
      <c r="B704" s="299"/>
      <c r="C704" s="299"/>
      <c r="D704" s="299"/>
      <c r="E704" s="299"/>
    </row>
    <row r="705" spans="1:5" x14ac:dyDescent="0.25">
      <c r="A705" s="299"/>
      <c r="B705" s="299"/>
      <c r="C705" s="299"/>
      <c r="D705" s="299"/>
      <c r="E705" s="299"/>
    </row>
    <row r="706" spans="1:5" x14ac:dyDescent="0.25">
      <c r="A706" s="299"/>
      <c r="B706" s="299"/>
      <c r="C706" s="299"/>
      <c r="D706" s="299"/>
      <c r="E706" s="299"/>
    </row>
    <row r="707" spans="1:5" x14ac:dyDescent="0.25">
      <c r="A707" s="299"/>
      <c r="B707" s="299"/>
      <c r="C707" s="299"/>
      <c r="D707" s="299"/>
      <c r="E707" s="299"/>
    </row>
    <row r="708" spans="1:5" x14ac:dyDescent="0.25">
      <c r="A708" s="299"/>
      <c r="B708" s="299"/>
      <c r="C708" s="299"/>
      <c r="D708" s="299"/>
      <c r="E708" s="299"/>
    </row>
    <row r="709" spans="1:5" x14ac:dyDescent="0.25">
      <c r="A709" s="299"/>
      <c r="B709" s="299"/>
      <c r="C709" s="299"/>
      <c r="D709" s="299"/>
      <c r="E709" s="299"/>
    </row>
    <row r="710" spans="1:5" x14ac:dyDescent="0.25">
      <c r="A710" s="299"/>
      <c r="B710" s="299"/>
      <c r="C710" s="299"/>
      <c r="D710" s="299"/>
      <c r="E710" s="299"/>
    </row>
    <row r="711" spans="1:5" x14ac:dyDescent="0.25">
      <c r="A711" s="299"/>
      <c r="B711" s="299"/>
      <c r="C711" s="299"/>
      <c r="D711" s="299"/>
      <c r="E711" s="299"/>
    </row>
    <row r="712" spans="1:5" x14ac:dyDescent="0.25">
      <c r="A712" s="299"/>
      <c r="B712" s="299"/>
      <c r="C712" s="299"/>
      <c r="D712" s="299"/>
      <c r="E712" s="299"/>
    </row>
  </sheetData>
  <mergeCells count="1">
    <mergeCell ref="A4:E4"/>
  </mergeCells>
  <conditionalFormatting sqref="G548:J548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551:J55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E0F22-7FED-4FE3-A21E-FC44EC1685C1}">
  <dimension ref="A1:I60"/>
  <sheetViews>
    <sheetView workbookViewId="0"/>
  </sheetViews>
  <sheetFormatPr defaultRowHeight="14.4" x14ac:dyDescent="0.3"/>
  <cols>
    <col min="2" max="2" width="51.109375" customWidth="1"/>
    <col min="3" max="3" width="9" customWidth="1"/>
    <col min="4" max="4" width="24" customWidth="1"/>
  </cols>
  <sheetData>
    <row r="1" spans="1:4" x14ac:dyDescent="0.3">
      <c r="B1" s="4"/>
      <c r="C1" t="s">
        <v>177</v>
      </c>
    </row>
    <row r="2" spans="1:4" x14ac:dyDescent="0.3">
      <c r="C2" s="1" t="s">
        <v>824</v>
      </c>
    </row>
    <row r="3" spans="1:4" x14ac:dyDescent="0.3">
      <c r="C3" s="1" t="s">
        <v>825</v>
      </c>
      <c r="D3" s="3" t="s">
        <v>826</v>
      </c>
    </row>
    <row r="4" spans="1:4" ht="15" customHeight="1" x14ac:dyDescent="0.3">
      <c r="A4" s="492" t="s">
        <v>827</v>
      </c>
      <c r="B4" s="492"/>
      <c r="C4" s="492"/>
      <c r="D4" s="492"/>
    </row>
    <row r="5" spans="1:4" x14ac:dyDescent="0.3">
      <c r="D5" s="334" t="s">
        <v>98</v>
      </c>
    </row>
    <row r="6" spans="1:4" ht="72.75" customHeight="1" x14ac:dyDescent="0.3">
      <c r="A6" s="340" t="s">
        <v>4</v>
      </c>
      <c r="B6" s="349" t="s">
        <v>227</v>
      </c>
      <c r="C6" s="335" t="s">
        <v>228</v>
      </c>
      <c r="D6" s="336" t="s">
        <v>100</v>
      </c>
    </row>
    <row r="7" spans="1:4" ht="15" customHeight="1" x14ac:dyDescent="0.3">
      <c r="A7" s="341">
        <v>1</v>
      </c>
      <c r="B7" s="124">
        <v>2</v>
      </c>
      <c r="C7" s="124">
        <v>3</v>
      </c>
      <c r="D7" s="380">
        <v>4</v>
      </c>
    </row>
    <row r="8" spans="1:4" ht="12.75" customHeight="1" x14ac:dyDescent="0.3">
      <c r="A8" s="342" t="s">
        <v>7</v>
      </c>
      <c r="B8" s="25" t="s">
        <v>175</v>
      </c>
      <c r="C8" s="367"/>
      <c r="D8" s="359">
        <f>D10+D14+D20+D22+D24+D43+D45</f>
        <v>11712.7</v>
      </c>
    </row>
    <row r="9" spans="1:4" ht="12.75" customHeight="1" x14ac:dyDescent="0.3">
      <c r="A9" s="343"/>
      <c r="B9" s="131" t="s">
        <v>230</v>
      </c>
      <c r="C9" s="368"/>
      <c r="D9" s="360"/>
    </row>
    <row r="10" spans="1:4" ht="12.75" customHeight="1" x14ac:dyDescent="0.3">
      <c r="A10" s="343" t="s">
        <v>9</v>
      </c>
      <c r="B10" s="126" t="s">
        <v>231</v>
      </c>
      <c r="C10" s="369" t="s">
        <v>232</v>
      </c>
      <c r="D10" s="361">
        <f>D12+D13</f>
        <v>2667.7</v>
      </c>
    </row>
    <row r="11" spans="1:4" ht="12.75" customHeight="1" x14ac:dyDescent="0.3">
      <c r="A11" s="343"/>
      <c r="B11" s="131" t="s">
        <v>542</v>
      </c>
      <c r="C11" s="370"/>
      <c r="D11" s="361"/>
    </row>
    <row r="12" spans="1:4" ht="12.75" customHeight="1" x14ac:dyDescent="0.3">
      <c r="A12" s="343" t="s">
        <v>233</v>
      </c>
      <c r="B12" s="127" t="s">
        <v>185</v>
      </c>
      <c r="C12" s="368"/>
      <c r="D12" s="362">
        <v>2380</v>
      </c>
    </row>
    <row r="13" spans="1:4" ht="12.75" customHeight="1" x14ac:dyDescent="0.3">
      <c r="A13" s="343"/>
      <c r="B13" s="127" t="s">
        <v>828</v>
      </c>
      <c r="C13" s="368"/>
      <c r="D13" s="362">
        <v>287.7</v>
      </c>
    </row>
    <row r="14" spans="1:4" ht="12.75" customHeight="1" x14ac:dyDescent="0.3">
      <c r="A14" s="343" t="s">
        <v>11</v>
      </c>
      <c r="B14" s="128" t="s">
        <v>540</v>
      </c>
      <c r="C14" s="371" t="s">
        <v>541</v>
      </c>
      <c r="D14" s="361">
        <f>D16+D17+D18+D19</f>
        <v>1106.0999999999999</v>
      </c>
    </row>
    <row r="15" spans="1:4" ht="12.75" customHeight="1" x14ac:dyDescent="0.3">
      <c r="A15" s="343"/>
      <c r="B15" s="129" t="s">
        <v>542</v>
      </c>
      <c r="C15" s="371"/>
      <c r="D15" s="363"/>
    </row>
    <row r="16" spans="1:4" ht="12.75" customHeight="1" x14ac:dyDescent="0.3">
      <c r="A16" s="344" t="s">
        <v>13</v>
      </c>
      <c r="B16" s="127" t="s">
        <v>828</v>
      </c>
      <c r="C16" s="372"/>
      <c r="D16" s="362">
        <v>300</v>
      </c>
    </row>
    <row r="17" spans="1:6" ht="27" x14ac:dyDescent="0.3">
      <c r="A17" s="344" t="s">
        <v>15</v>
      </c>
      <c r="B17" s="127" t="s">
        <v>187</v>
      </c>
      <c r="C17" s="372"/>
      <c r="D17" s="360">
        <v>65.400000000000006</v>
      </c>
    </row>
    <row r="18" spans="1:6" ht="12.75" customHeight="1" x14ac:dyDescent="0.3">
      <c r="A18" s="344" t="s">
        <v>17</v>
      </c>
      <c r="B18" s="127" t="s">
        <v>829</v>
      </c>
      <c r="C18" s="372"/>
      <c r="D18" s="360">
        <v>336.9</v>
      </c>
    </row>
    <row r="19" spans="1:6" ht="28.5" customHeight="1" x14ac:dyDescent="0.3">
      <c r="A19" s="344" t="s">
        <v>830</v>
      </c>
      <c r="B19" s="339" t="s">
        <v>193</v>
      </c>
      <c r="C19" s="372"/>
      <c r="D19" s="360">
        <v>403.8</v>
      </c>
    </row>
    <row r="20" spans="1:6" x14ac:dyDescent="0.3">
      <c r="A20" s="344" t="s">
        <v>19</v>
      </c>
      <c r="B20" s="350" t="s">
        <v>390</v>
      </c>
      <c r="C20" s="371" t="s">
        <v>420</v>
      </c>
      <c r="D20" s="363">
        <f>D21</f>
        <v>23.3</v>
      </c>
    </row>
    <row r="21" spans="1:6" ht="27" x14ac:dyDescent="0.3">
      <c r="A21" s="344" t="s">
        <v>21</v>
      </c>
      <c r="B21" s="127" t="s">
        <v>831</v>
      </c>
      <c r="C21" s="372"/>
      <c r="D21" s="360">
        <v>23.3</v>
      </c>
    </row>
    <row r="22" spans="1:6" ht="12.75" customHeight="1" x14ac:dyDescent="0.3">
      <c r="A22" s="345" t="s">
        <v>188</v>
      </c>
      <c r="B22" s="128" t="s">
        <v>832</v>
      </c>
      <c r="C22" s="373" t="s">
        <v>112</v>
      </c>
      <c r="D22" s="361">
        <f>D23</f>
        <v>6.7</v>
      </c>
    </row>
    <row r="23" spans="1:6" ht="12.75" customHeight="1" x14ac:dyDescent="0.3">
      <c r="A23" s="344" t="s">
        <v>833</v>
      </c>
      <c r="B23" s="127" t="s">
        <v>834</v>
      </c>
      <c r="C23" s="373"/>
      <c r="D23" s="362">
        <v>6.7</v>
      </c>
    </row>
    <row r="24" spans="1:6" ht="27" x14ac:dyDescent="0.3">
      <c r="A24" s="344" t="s">
        <v>190</v>
      </c>
      <c r="B24" s="351" t="s">
        <v>590</v>
      </c>
      <c r="C24" s="374"/>
      <c r="D24" s="361">
        <f>D26+D39+D40+D41+D42</f>
        <v>4965.7000000000007</v>
      </c>
    </row>
    <row r="25" spans="1:6" ht="12.75" customHeight="1" x14ac:dyDescent="0.3">
      <c r="A25" s="344"/>
      <c r="B25" s="129" t="s">
        <v>542</v>
      </c>
      <c r="C25" s="374"/>
      <c r="D25" s="361"/>
    </row>
    <row r="26" spans="1:6" ht="12.75" customHeight="1" x14ac:dyDescent="0.3">
      <c r="A26" s="344" t="s">
        <v>835</v>
      </c>
      <c r="B26" s="127" t="s">
        <v>836</v>
      </c>
      <c r="C26" s="375" t="s">
        <v>410</v>
      </c>
      <c r="D26" s="362">
        <v>3837.8</v>
      </c>
    </row>
    <row r="27" spans="1:6" ht="12.75" customHeight="1" x14ac:dyDescent="0.3">
      <c r="A27" s="344"/>
      <c r="B27" s="337" t="s">
        <v>230</v>
      </c>
      <c r="C27" s="375"/>
      <c r="D27" s="362"/>
    </row>
    <row r="28" spans="1:6" ht="12.75" customHeight="1" x14ac:dyDescent="0.3">
      <c r="A28" s="344" t="s">
        <v>837</v>
      </c>
      <c r="B28" s="352" t="s">
        <v>547</v>
      </c>
      <c r="C28" s="375"/>
      <c r="D28" s="362">
        <v>31.2</v>
      </c>
    </row>
    <row r="29" spans="1:6" ht="12.75" customHeight="1" x14ac:dyDescent="0.3">
      <c r="A29" s="344" t="s">
        <v>838</v>
      </c>
      <c r="B29" s="352" t="s">
        <v>549</v>
      </c>
      <c r="C29" s="375"/>
      <c r="D29" s="362">
        <v>64.7</v>
      </c>
    </row>
    <row r="30" spans="1:6" ht="12.75" customHeight="1" x14ac:dyDescent="0.3">
      <c r="A30" s="344" t="s">
        <v>839</v>
      </c>
      <c r="B30" s="352" t="s">
        <v>551</v>
      </c>
      <c r="C30" s="375"/>
      <c r="D30" s="362">
        <v>115.7</v>
      </c>
    </row>
    <row r="31" spans="1:6" ht="12.75" customHeight="1" x14ac:dyDescent="0.3">
      <c r="A31" s="344" t="s">
        <v>840</v>
      </c>
      <c r="B31" s="352" t="s">
        <v>553</v>
      </c>
      <c r="C31" s="375"/>
      <c r="D31" s="362">
        <v>46.7</v>
      </c>
    </row>
    <row r="32" spans="1:6" ht="12.75" customHeight="1" x14ac:dyDescent="0.3">
      <c r="A32" s="344" t="s">
        <v>841</v>
      </c>
      <c r="B32" s="352" t="s">
        <v>555</v>
      </c>
      <c r="C32" s="375"/>
      <c r="D32" s="362">
        <v>180</v>
      </c>
      <c r="F32" s="56"/>
    </row>
    <row r="33" spans="1:4" ht="12.75" customHeight="1" x14ac:dyDescent="0.3">
      <c r="A33" s="344" t="s">
        <v>842</v>
      </c>
      <c r="B33" s="352" t="s">
        <v>557</v>
      </c>
      <c r="C33" s="375"/>
      <c r="D33" s="362">
        <v>22</v>
      </c>
    </row>
    <row r="34" spans="1:4" ht="12.75" customHeight="1" x14ac:dyDescent="0.3">
      <c r="A34" s="344" t="s">
        <v>843</v>
      </c>
      <c r="B34" s="352" t="s">
        <v>559</v>
      </c>
      <c r="C34" s="375"/>
      <c r="D34" s="362">
        <v>105.5</v>
      </c>
    </row>
    <row r="35" spans="1:4" ht="12.75" customHeight="1" x14ac:dyDescent="0.3">
      <c r="A35" s="344" t="s">
        <v>844</v>
      </c>
      <c r="B35" s="352" t="s">
        <v>536</v>
      </c>
      <c r="C35" s="375"/>
      <c r="D35" s="362">
        <v>140.1</v>
      </c>
    </row>
    <row r="36" spans="1:4" ht="12.75" customHeight="1" x14ac:dyDescent="0.3">
      <c r="A36" s="344" t="s">
        <v>845</v>
      </c>
      <c r="B36" s="352" t="s">
        <v>562</v>
      </c>
      <c r="C36" s="375"/>
      <c r="D36" s="362">
        <v>133</v>
      </c>
    </row>
    <row r="37" spans="1:4" ht="12.75" customHeight="1" x14ac:dyDescent="0.3">
      <c r="A37" s="344" t="s">
        <v>846</v>
      </c>
      <c r="B37" s="352" t="s">
        <v>564</v>
      </c>
      <c r="C37" s="375"/>
      <c r="D37" s="362">
        <v>81.2</v>
      </c>
    </row>
    <row r="38" spans="1:4" ht="12.75" customHeight="1" x14ac:dyDescent="0.3">
      <c r="A38" s="344" t="s">
        <v>847</v>
      </c>
      <c r="B38" s="352" t="s">
        <v>566</v>
      </c>
      <c r="C38" s="376"/>
      <c r="D38" s="362">
        <v>97.3</v>
      </c>
    </row>
    <row r="39" spans="1:4" ht="12.75" customHeight="1" x14ac:dyDescent="0.3">
      <c r="A39" s="344" t="s">
        <v>848</v>
      </c>
      <c r="B39" s="127" t="s">
        <v>185</v>
      </c>
      <c r="C39" s="376" t="s">
        <v>410</v>
      </c>
      <c r="D39" s="362">
        <v>115</v>
      </c>
    </row>
    <row r="40" spans="1:4" ht="12.75" customHeight="1" x14ac:dyDescent="0.3">
      <c r="A40" s="344" t="s">
        <v>887</v>
      </c>
      <c r="B40" s="127" t="s">
        <v>828</v>
      </c>
      <c r="C40" s="376" t="s">
        <v>410</v>
      </c>
      <c r="D40" s="362">
        <v>512.29999999999995</v>
      </c>
    </row>
    <row r="41" spans="1:4" ht="12.75" customHeight="1" x14ac:dyDescent="0.3">
      <c r="A41" s="344" t="s">
        <v>888</v>
      </c>
      <c r="B41" s="468" t="s">
        <v>191</v>
      </c>
      <c r="C41" s="376" t="s">
        <v>410</v>
      </c>
      <c r="D41" s="362">
        <v>500</v>
      </c>
    </row>
    <row r="42" spans="1:4" ht="12.75" customHeight="1" x14ac:dyDescent="0.3">
      <c r="A42" s="344" t="s">
        <v>889</v>
      </c>
      <c r="B42" s="353" t="s">
        <v>189</v>
      </c>
      <c r="C42" s="377" t="s">
        <v>604</v>
      </c>
      <c r="D42" s="362">
        <v>0.6</v>
      </c>
    </row>
    <row r="43" spans="1:4" ht="22.8" x14ac:dyDescent="0.3">
      <c r="A43" s="345" t="s">
        <v>192</v>
      </c>
      <c r="B43" s="354" t="s">
        <v>460</v>
      </c>
      <c r="C43" s="374" t="s">
        <v>461</v>
      </c>
      <c r="D43" s="361">
        <f>D44</f>
        <v>700</v>
      </c>
    </row>
    <row r="44" spans="1:4" ht="12.75" customHeight="1" x14ac:dyDescent="0.3">
      <c r="A44" s="345" t="s">
        <v>849</v>
      </c>
      <c r="B44" s="127" t="s">
        <v>850</v>
      </c>
      <c r="C44" s="373"/>
      <c r="D44" s="362">
        <v>700</v>
      </c>
    </row>
    <row r="45" spans="1:4" ht="26.4" x14ac:dyDescent="0.3">
      <c r="A45" s="344" t="s">
        <v>851</v>
      </c>
      <c r="B45" s="355" t="s">
        <v>241</v>
      </c>
      <c r="C45" s="130" t="s">
        <v>394</v>
      </c>
      <c r="D45" s="361">
        <f>D47+D48+D49</f>
        <v>2243.1999999999998</v>
      </c>
    </row>
    <row r="46" spans="1:4" ht="12" customHeight="1" x14ac:dyDescent="0.3">
      <c r="A46" s="345"/>
      <c r="B46" s="129" t="s">
        <v>542</v>
      </c>
      <c r="C46" s="130"/>
      <c r="D46" s="361"/>
    </row>
    <row r="47" spans="1:4" ht="12" customHeight="1" x14ac:dyDescent="0.3">
      <c r="A47" s="345" t="s">
        <v>346</v>
      </c>
      <c r="B47" s="129" t="s">
        <v>185</v>
      </c>
      <c r="C47" s="130"/>
      <c r="D47" s="364">
        <v>1789.3</v>
      </c>
    </row>
    <row r="48" spans="1:4" ht="12.75" customHeight="1" x14ac:dyDescent="0.3">
      <c r="A48" s="345" t="s">
        <v>852</v>
      </c>
      <c r="B48" s="127" t="s">
        <v>853</v>
      </c>
      <c r="C48" s="130"/>
      <c r="D48" s="364">
        <v>53.9</v>
      </c>
    </row>
    <row r="49" spans="1:9" ht="12.75" customHeight="1" x14ac:dyDescent="0.3">
      <c r="A49" s="345" t="s">
        <v>854</v>
      </c>
      <c r="B49" s="356" t="s">
        <v>828</v>
      </c>
      <c r="C49" s="125"/>
      <c r="D49" s="364">
        <v>400</v>
      </c>
    </row>
    <row r="50" spans="1:9" x14ac:dyDescent="0.3">
      <c r="A50" s="346" t="s">
        <v>23</v>
      </c>
      <c r="B50" s="357" t="s">
        <v>100</v>
      </c>
      <c r="C50" s="378"/>
      <c r="D50" s="365">
        <f>SUM(D52:D58)</f>
        <v>11712.7</v>
      </c>
      <c r="F50" s="56"/>
      <c r="G50" s="56"/>
      <c r="H50" s="56"/>
      <c r="I50" s="56"/>
    </row>
    <row r="51" spans="1:9" ht="12.75" customHeight="1" x14ac:dyDescent="0.3">
      <c r="A51" s="347"/>
      <c r="B51" s="131" t="s">
        <v>230</v>
      </c>
      <c r="C51" s="379"/>
      <c r="D51" s="360"/>
    </row>
    <row r="52" spans="1:9" ht="12.75" customHeight="1" x14ac:dyDescent="0.3">
      <c r="A52" s="344" t="s">
        <v>25</v>
      </c>
      <c r="B52" s="127" t="s">
        <v>185</v>
      </c>
      <c r="C52" s="338"/>
      <c r="D52" s="362">
        <f>D12+D39+D47</f>
        <v>4284.3</v>
      </c>
    </row>
    <row r="53" spans="1:9" ht="12.75" customHeight="1" x14ac:dyDescent="0.3">
      <c r="A53" s="344" t="s">
        <v>31</v>
      </c>
      <c r="B53" s="127" t="s">
        <v>836</v>
      </c>
      <c r="C53" s="338"/>
      <c r="D53" s="362">
        <f>D26</f>
        <v>3837.8</v>
      </c>
    </row>
    <row r="54" spans="1:9" ht="27" x14ac:dyDescent="0.3">
      <c r="A54" s="344" t="s">
        <v>37</v>
      </c>
      <c r="B54" s="127" t="s">
        <v>187</v>
      </c>
      <c r="C54" s="338"/>
      <c r="D54" s="362">
        <f>D17+D21</f>
        <v>88.7</v>
      </c>
    </row>
    <row r="55" spans="1:9" ht="12.75" customHeight="1" x14ac:dyDescent="0.3">
      <c r="A55" s="344" t="s">
        <v>57</v>
      </c>
      <c r="B55" s="127" t="s">
        <v>853</v>
      </c>
      <c r="C55" s="338"/>
      <c r="D55" s="362">
        <f>D23+D42+D48</f>
        <v>61.199999999999996</v>
      </c>
    </row>
    <row r="56" spans="1:9" ht="12.75" customHeight="1" x14ac:dyDescent="0.3">
      <c r="A56" s="344" t="s">
        <v>855</v>
      </c>
      <c r="B56" s="127" t="s">
        <v>191</v>
      </c>
      <c r="C56" s="338"/>
      <c r="D56" s="362">
        <f>D18+D41</f>
        <v>836.9</v>
      </c>
    </row>
    <row r="57" spans="1:9" ht="27" customHeight="1" x14ac:dyDescent="0.3">
      <c r="A57" s="344" t="s">
        <v>856</v>
      </c>
      <c r="B57" s="339" t="s">
        <v>193</v>
      </c>
      <c r="C57" s="338"/>
      <c r="D57" s="362">
        <f>D19</f>
        <v>403.8</v>
      </c>
    </row>
    <row r="58" spans="1:9" ht="12.75" customHeight="1" x14ac:dyDescent="0.3">
      <c r="A58" s="348" t="s">
        <v>857</v>
      </c>
      <c r="B58" s="358" t="s">
        <v>828</v>
      </c>
      <c r="C58" s="132"/>
      <c r="D58" s="366">
        <f>D13+D16+D40+D44+D49</f>
        <v>2200</v>
      </c>
    </row>
    <row r="59" spans="1:9" ht="12" customHeight="1" x14ac:dyDescent="0.3">
      <c r="A59" s="133"/>
      <c r="B59" s="127"/>
      <c r="D59" s="56"/>
    </row>
    <row r="60" spans="1:9" x14ac:dyDescent="0.3">
      <c r="B60" t="s">
        <v>858</v>
      </c>
    </row>
  </sheetData>
  <mergeCells count="1">
    <mergeCell ref="A4:D4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FE5B1E9E2AFD3240A9563EFF15ED8DA5" ma:contentTypeVersion="2" ma:contentTypeDescription="Kurkite naują dokumentą." ma:contentTypeScope="" ma:versionID="25121123e11c6d5b1fc0ca471cc81554">
  <xsd:schema xmlns:xsd="http://www.w3.org/2001/XMLSchema" xmlns:xs="http://www.w3.org/2001/XMLSchema" xmlns:p="http://schemas.microsoft.com/office/2006/metadata/properties" xmlns:ns2="a5a4c12e-f368-4730-839e-ddeaee63f466" targetNamespace="http://schemas.microsoft.com/office/2006/metadata/properties" ma:root="true" ma:fieldsID="8677147af2750b192ad457dd6207d708" ns2:_="">
    <xsd:import namespace="a5a4c12e-f368-4730-839e-ddeaee63f4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a4c12e-f368-4730-839e-ddeaee63f4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82BB38-CCB4-4964-9EFC-AF58CBFBBE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27A44D-0727-428D-816F-963DD4429A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a4c12e-f368-4730-839e-ddeaee63f4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57BEED-E7FB-4F06-AC11-EEE84F13122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6</vt:i4>
      </vt:variant>
    </vt:vector>
  </HeadingPairs>
  <TitlesOfParts>
    <vt:vector size="6" baseType="lpstr">
      <vt:lpstr>1 priedas</vt:lpstr>
      <vt:lpstr> 2 priedas</vt:lpstr>
      <vt:lpstr>3 priedas</vt:lpstr>
      <vt:lpstr>4 priedas</vt:lpstr>
      <vt:lpstr>5 priedas</vt:lpstr>
      <vt:lpstr>6 priedas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Irena Gailiuvienė</dc:creator>
  <cp:keywords/>
  <dc:description/>
  <cp:lastModifiedBy>Irena Gailiuvienė</cp:lastModifiedBy>
  <cp:revision/>
  <cp:lastPrinted>2022-01-17T15:13:29Z</cp:lastPrinted>
  <dcterms:created xsi:type="dcterms:W3CDTF">2022-01-05T07:13:39Z</dcterms:created>
  <dcterms:modified xsi:type="dcterms:W3CDTF">2022-01-17T21:41:59Z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0x010100FE5B1E9E2AFD3240A9563EFF15ED8DA5</vt:lpwstr>
  </property>
</Properties>
</file>